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Gina\Documents\wsba\"/>
    </mc:Choice>
  </mc:AlternateContent>
  <xr:revisionPtr revIDLastSave="0" documentId="13_ncr:1_{D249ED0C-69EF-408B-8B20-98C594148359}" xr6:coauthVersionLast="45" xr6:coauthVersionMax="45" xr10:uidLastSave="{00000000-0000-0000-0000-000000000000}"/>
  <bookViews>
    <workbookView xWindow="-110" yWindow="-110" windowWidth="18220" windowHeight="11620" firstSheet="10" activeTab="12" xr2:uid="{00000000-000D-0000-FFFF-FFFF00000000}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Summary" sheetId="6" r:id="rId6"/>
    <sheet name="2016 " sheetId="11" r:id="rId7"/>
    <sheet name="15V16" sheetId="8" r:id="rId8"/>
    <sheet name="2017 Budget" sheetId="12" r:id="rId9"/>
    <sheet name="2018Budget" sheetId="13" r:id="rId10"/>
    <sheet name="2018vsBudget" sheetId="14" r:id="rId11"/>
    <sheet name="2019Budget " sheetId="16" r:id="rId12"/>
    <sheet name="2019 vs Budget" sheetId="17" r:id="rId13"/>
    <sheet name="Membership data" sheetId="9" r:id="rId14"/>
    <sheet name="Stipends" sheetId="7" r:id="rId15"/>
    <sheet name="Racer Days" sheetId="10" r:id="rId16"/>
  </sheets>
  <definedNames>
    <definedName name="_2010_qb_ytd" localSheetId="0">'2010'!$A$1:$B$44</definedName>
    <definedName name="_2011_qb_ytd" localSheetId="1">'2011'!$A$1:$B$43</definedName>
    <definedName name="_2012_qb_ytd" localSheetId="2">'2012'!$A$1:$B$60</definedName>
    <definedName name="_2013qb_ytd_numbers" localSheetId="3">'2013'!$A$1:$B$72</definedName>
    <definedName name="_2014_ytd_qb_data" localSheetId="4">'2014'!$A$1:$B$86</definedName>
    <definedName name="_2014pl_final_1" localSheetId="4">'2014'!$G$1:$H$85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17" l="1"/>
  <c r="E42" i="17"/>
  <c r="E44" i="17"/>
  <c r="P24" i="7" l="1"/>
  <c r="E17" i="17" l="1"/>
  <c r="E24" i="17" l="1"/>
  <c r="C48" i="17" l="1"/>
  <c r="G40" i="17"/>
  <c r="G28" i="17"/>
  <c r="G48" i="17" s="1"/>
  <c r="E48" i="17"/>
  <c r="G17" i="17"/>
  <c r="E8" i="17"/>
  <c r="E20" i="17" s="1"/>
  <c r="O5" i="17"/>
  <c r="O4" i="17"/>
  <c r="C4" i="17" s="1"/>
  <c r="G4" i="17"/>
  <c r="G8" i="17" s="1"/>
  <c r="G20" i="17" s="1"/>
  <c r="O3" i="17"/>
  <c r="C5" i="17" s="1"/>
  <c r="C8" i="17" l="1"/>
  <c r="E50" i="17"/>
  <c r="G50" i="17"/>
  <c r="H46" i="16"/>
  <c r="H45" i="16"/>
  <c r="H44" i="16"/>
  <c r="H43" i="16"/>
  <c r="H42" i="16"/>
  <c r="H40" i="16"/>
  <c r="H39" i="16"/>
  <c r="H38" i="16"/>
  <c r="H37" i="16"/>
  <c r="H35" i="16"/>
  <c r="H34" i="16"/>
  <c r="H33" i="16"/>
  <c r="H32" i="16"/>
  <c r="H31" i="16"/>
  <c r="H30" i="16"/>
  <c r="H29" i="16"/>
  <c r="H28" i="16"/>
  <c r="H27" i="16"/>
  <c r="H26" i="16"/>
  <c r="H25" i="16"/>
  <c r="H23" i="16"/>
  <c r="H18" i="16"/>
  <c r="H17" i="16"/>
  <c r="H16" i="16"/>
  <c r="H15" i="16"/>
  <c r="H13" i="16"/>
  <c r="H10" i="16"/>
  <c r="C20" i="17" l="1"/>
  <c r="C48" i="16"/>
  <c r="C5" i="16"/>
  <c r="H5" i="16" s="1"/>
  <c r="M5" i="16"/>
  <c r="E6" i="16" s="1"/>
  <c r="M4" i="16"/>
  <c r="C4" i="16" s="1"/>
  <c r="M3" i="16"/>
  <c r="E41" i="16"/>
  <c r="H41" i="16" s="1"/>
  <c r="G40" i="16"/>
  <c r="E36" i="16"/>
  <c r="H36" i="16" s="1"/>
  <c r="G28" i="16"/>
  <c r="E24" i="16"/>
  <c r="H24" i="16" s="1"/>
  <c r="G17" i="16"/>
  <c r="E14" i="16"/>
  <c r="H14" i="16" s="1"/>
  <c r="G4" i="16"/>
  <c r="G8" i="16" s="1"/>
  <c r="G20" i="16" l="1"/>
  <c r="C50" i="17"/>
  <c r="H4" i="16"/>
  <c r="C8" i="16"/>
  <c r="H6" i="16"/>
  <c r="E8" i="16"/>
  <c r="E20" i="16" s="1"/>
  <c r="E50" i="16" s="1"/>
  <c r="G48" i="16"/>
  <c r="G50" i="16" s="1"/>
  <c r="E48" i="16"/>
  <c r="H48" i="16" s="1"/>
  <c r="M24" i="7"/>
  <c r="K24" i="7"/>
  <c r="H8" i="16" l="1"/>
  <c r="C20" i="16"/>
  <c r="G40" i="14"/>
  <c r="G48" i="14" s="1"/>
  <c r="G28" i="14"/>
  <c r="G17" i="14"/>
  <c r="G4" i="14"/>
  <c r="G8" i="14" s="1"/>
  <c r="G20" i="14" l="1"/>
  <c r="G50" i="14" s="1"/>
  <c r="H20" i="16"/>
  <c r="C50" i="16"/>
  <c r="H50" i="16" s="1"/>
  <c r="E24" i="14"/>
  <c r="E14" i="14"/>
  <c r="E41" i="14" l="1"/>
  <c r="E36" i="14"/>
  <c r="E48" i="14" l="1"/>
  <c r="E8" i="14"/>
  <c r="E20" i="14" s="1"/>
  <c r="E50" i="14" l="1"/>
  <c r="C5" i="13" l="1"/>
  <c r="L3" i="13"/>
  <c r="C6" i="13" s="1"/>
  <c r="J3" i="13"/>
  <c r="K3" i="10"/>
  <c r="H3" i="10"/>
  <c r="E40" i="13"/>
  <c r="E28" i="13"/>
  <c r="E48" i="13" s="1"/>
  <c r="E17" i="13"/>
  <c r="E4" i="13"/>
  <c r="E8" i="13" s="1"/>
  <c r="E20" i="13" l="1"/>
  <c r="E50" i="13" s="1"/>
  <c r="Q6" i="13"/>
  <c r="C4" i="13"/>
  <c r="C8" i="13" s="1"/>
  <c r="C20" i="13" s="1"/>
  <c r="E28" i="12" l="1"/>
  <c r="E40" i="12"/>
  <c r="E17" i="12"/>
  <c r="E4" i="12"/>
  <c r="J5" i="12" l="1"/>
  <c r="Q6" i="12" l="1"/>
  <c r="E47" i="12" l="1"/>
  <c r="E31" i="11" l="1"/>
  <c r="E19" i="10" l="1"/>
  <c r="D11" i="10"/>
  <c r="D19" i="10"/>
  <c r="D27" i="10"/>
  <c r="D36" i="10"/>
  <c r="C36" i="10"/>
  <c r="G36" i="10" s="1"/>
  <c r="B36" i="10"/>
  <c r="C10" i="10"/>
  <c r="C11" i="10" s="1"/>
  <c r="B10" i="10"/>
  <c r="B11" i="10" s="1"/>
  <c r="G11" i="10" l="1"/>
  <c r="C6" i="12"/>
  <c r="G8" i="12"/>
  <c r="G20" i="12" s="1"/>
  <c r="C45" i="12"/>
  <c r="C47" i="12" s="1"/>
  <c r="H24" i="7"/>
  <c r="C45" i="13" s="1"/>
  <c r="B24" i="7"/>
  <c r="G45" i="12" s="1"/>
  <c r="G47" i="12" s="1"/>
  <c r="E8" i="12"/>
  <c r="E20" i="12" s="1"/>
  <c r="C8" i="12"/>
  <c r="C20" i="12" s="1"/>
  <c r="C4" i="12"/>
  <c r="C48" i="13" l="1"/>
  <c r="C50" i="13" s="1"/>
  <c r="J3" i="12"/>
  <c r="G49" i="12"/>
  <c r="C49" i="12"/>
  <c r="E49" i="12"/>
  <c r="E41" i="11" l="1"/>
  <c r="E22" i="11"/>
  <c r="E30" i="11"/>
  <c r="E11" i="11"/>
  <c r="E44" i="11" l="1"/>
  <c r="I3" i="11"/>
  <c r="E17" i="11"/>
  <c r="E46" i="11" l="1"/>
  <c r="I4" i="8"/>
  <c r="I5" i="8"/>
  <c r="I42" i="8"/>
  <c r="I44" i="8" s="1"/>
  <c r="G7" i="8" l="1"/>
  <c r="G24" i="8" l="1"/>
  <c r="I6" i="8"/>
  <c r="I17" i="8" s="1"/>
  <c r="I46" i="8" s="1"/>
  <c r="F36" i="10"/>
  <c r="C27" i="10"/>
  <c r="G27" i="10" s="1"/>
  <c r="B27" i="10"/>
  <c r="C19" i="10"/>
  <c r="G19" i="10" s="1"/>
  <c r="B19" i="10"/>
  <c r="F11" i="10" l="1"/>
  <c r="C3" i="10"/>
  <c r="G3" i="10" s="1"/>
  <c r="F27" i="10"/>
  <c r="B3" i="10"/>
  <c r="F19" i="10"/>
  <c r="C42" i="8"/>
  <c r="G42" i="8" s="1"/>
  <c r="G40" i="8"/>
  <c r="G38" i="8"/>
  <c r="G37" i="8"/>
  <c r="G35" i="8"/>
  <c r="G34" i="8"/>
  <c r="G33" i="8"/>
  <c r="G32" i="8"/>
  <c r="G31" i="8"/>
  <c r="G30" i="8"/>
  <c r="G27" i="8"/>
  <c r="G26" i="8"/>
  <c r="G22" i="8"/>
  <c r="G20" i="8"/>
  <c r="G15" i="8"/>
  <c r="G14" i="8"/>
  <c r="G13" i="8"/>
  <c r="G12" i="8"/>
  <c r="G11" i="8"/>
  <c r="G10" i="8"/>
  <c r="E41" i="8"/>
  <c r="G41" i="8" s="1"/>
  <c r="E39" i="8"/>
  <c r="G39" i="8" s="1"/>
  <c r="E36" i="8"/>
  <c r="G36" i="8" s="1"/>
  <c r="E28" i="8"/>
  <c r="G28" i="8" s="1"/>
  <c r="E25" i="8"/>
  <c r="C25" i="8"/>
  <c r="E23" i="8"/>
  <c r="G23" i="8" s="1"/>
  <c r="E21" i="8"/>
  <c r="E5" i="8"/>
  <c r="C5" i="8"/>
  <c r="C4" i="8"/>
  <c r="A8" i="9"/>
  <c r="P40" i="6"/>
  <c r="F3" i="10" l="1"/>
  <c r="E17" i="8"/>
  <c r="G5" i="8"/>
  <c r="C17" i="8"/>
  <c r="G17" i="8" s="1"/>
  <c r="G25" i="8"/>
  <c r="C44" i="8"/>
  <c r="G4" i="8"/>
  <c r="E44" i="8"/>
  <c r="G21" i="8"/>
  <c r="P38" i="6"/>
  <c r="P25" i="6"/>
  <c r="P35" i="6"/>
  <c r="P28" i="6"/>
  <c r="P23" i="6"/>
  <c r="P21" i="6"/>
  <c r="P5" i="6"/>
  <c r="P17" i="6" s="1"/>
  <c r="P43" i="6" l="1"/>
  <c r="C46" i="8"/>
  <c r="G44" i="8"/>
  <c r="E46" i="8"/>
  <c r="P45" i="6"/>
  <c r="N41" i="6"/>
  <c r="G46" i="8" l="1"/>
  <c r="N5" i="6"/>
  <c r="N4" i="6"/>
  <c r="N25" i="6"/>
  <c r="N43" i="6" s="1"/>
  <c r="C12" i="5"/>
  <c r="N17" i="6" l="1"/>
  <c r="N45" i="6" s="1"/>
  <c r="B14" i="5" l="1"/>
  <c r="B85" i="5"/>
  <c r="D83" i="5"/>
  <c r="L37" i="6" s="1"/>
  <c r="D82" i="5"/>
  <c r="D81" i="5"/>
  <c r="L36" i="6" s="1"/>
  <c r="D79" i="5"/>
  <c r="D78" i="5"/>
  <c r="D77" i="5"/>
  <c r="D76" i="5"/>
  <c r="D75" i="5"/>
  <c r="D74" i="5"/>
  <c r="L27" i="6" s="1"/>
  <c r="D72" i="5"/>
  <c r="L22" i="6" s="1"/>
  <c r="D71" i="5"/>
  <c r="D70" i="5"/>
  <c r="D69" i="5"/>
  <c r="L32" i="6" s="1"/>
  <c r="D67" i="5"/>
  <c r="D66" i="5"/>
  <c r="D65" i="5"/>
  <c r="D64" i="5"/>
  <c r="D62" i="5"/>
  <c r="D61" i="5"/>
  <c r="D60" i="5"/>
  <c r="D59" i="5"/>
  <c r="L21" i="6" s="1"/>
  <c r="D57" i="5"/>
  <c r="D56" i="5"/>
  <c r="D55" i="5"/>
  <c r="D54" i="5"/>
  <c r="L23" i="6" s="1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L33" i="6" s="1"/>
  <c r="D13" i="5"/>
  <c r="L10" i="6" s="1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2" i="5"/>
  <c r="D21" i="5"/>
  <c r="D20" i="5"/>
  <c r="D19" i="5"/>
  <c r="D18" i="5"/>
  <c r="D17" i="5"/>
  <c r="L29" i="6" s="1"/>
  <c r="D11" i="5"/>
  <c r="L28" i="6" s="1"/>
  <c r="D10" i="5"/>
  <c r="L11" i="6" s="1"/>
  <c r="D9" i="5"/>
  <c r="D8" i="5"/>
  <c r="L15" i="6" s="1"/>
  <c r="D7" i="5"/>
  <c r="D12" i="5"/>
  <c r="L4" i="6" s="1"/>
  <c r="D6" i="5"/>
  <c r="D5" i="5"/>
  <c r="L5" i="6" s="1"/>
  <c r="J40" i="6"/>
  <c r="B71" i="4"/>
  <c r="B72" i="4" s="1"/>
  <c r="J38" i="6"/>
  <c r="B14" i="4"/>
  <c r="J37" i="6"/>
  <c r="J33" i="6"/>
  <c r="J34" i="6"/>
  <c r="J27" i="6"/>
  <c r="J28" i="6"/>
  <c r="J23" i="6"/>
  <c r="J36" i="6"/>
  <c r="J30" i="6"/>
  <c r="J32" i="6"/>
  <c r="J35" i="6"/>
  <c r="J31" i="6"/>
  <c r="J41" i="6"/>
  <c r="J26" i="6"/>
  <c r="J22" i="6"/>
  <c r="J21" i="6"/>
  <c r="J20" i="6"/>
  <c r="K20" i="6" s="1"/>
  <c r="J15" i="6"/>
  <c r="J14" i="6"/>
  <c r="J13" i="6"/>
  <c r="J11" i="6"/>
  <c r="J10" i="6"/>
  <c r="J5" i="6"/>
  <c r="J4" i="6"/>
  <c r="H23" i="6"/>
  <c r="H40" i="6"/>
  <c r="B59" i="3"/>
  <c r="H32" i="6"/>
  <c r="H38" i="6"/>
  <c r="H37" i="6"/>
  <c r="H31" i="6"/>
  <c r="H36" i="6"/>
  <c r="H34" i="6"/>
  <c r="H39" i="6"/>
  <c r="H28" i="6"/>
  <c r="H27" i="6"/>
  <c r="H22" i="6"/>
  <c r="H10" i="6"/>
  <c r="H30" i="6"/>
  <c r="H41" i="6"/>
  <c r="H26" i="6"/>
  <c r="H21" i="6"/>
  <c r="H20" i="6"/>
  <c r="I20" i="6" s="1"/>
  <c r="H14" i="6"/>
  <c r="B13" i="3"/>
  <c r="C13" i="3" s="1"/>
  <c r="H15" i="6"/>
  <c r="H11" i="6"/>
  <c r="H5" i="6"/>
  <c r="H4" i="6"/>
  <c r="B11" i="2"/>
  <c r="F37" i="6"/>
  <c r="B42" i="2"/>
  <c r="F41" i="6"/>
  <c r="F40" i="6"/>
  <c r="F23" i="6"/>
  <c r="F30" i="6"/>
  <c r="F38" i="6"/>
  <c r="F36" i="6"/>
  <c r="F34" i="6"/>
  <c r="F32" i="6"/>
  <c r="F31" i="6"/>
  <c r="F28" i="6"/>
  <c r="F26" i="6"/>
  <c r="F21" i="6"/>
  <c r="F20" i="6"/>
  <c r="F15" i="6"/>
  <c r="F14" i="6"/>
  <c r="F11" i="6"/>
  <c r="F10" i="6"/>
  <c r="F5" i="6"/>
  <c r="F4" i="6"/>
  <c r="B11" i="1"/>
  <c r="B43" i="1"/>
  <c r="D37" i="6"/>
  <c r="D23" i="6"/>
  <c r="D40" i="6"/>
  <c r="D38" i="6"/>
  <c r="D36" i="6"/>
  <c r="D41" i="6"/>
  <c r="D30" i="6"/>
  <c r="D31" i="6"/>
  <c r="D32" i="6"/>
  <c r="D34" i="6"/>
  <c r="D28" i="6"/>
  <c r="D26" i="6"/>
  <c r="D21" i="6"/>
  <c r="D20" i="6"/>
  <c r="D14" i="6"/>
  <c r="D15" i="6"/>
  <c r="D11" i="6"/>
  <c r="D10" i="6"/>
  <c r="D5" i="6"/>
  <c r="D4" i="6"/>
  <c r="E7" i="6" s="1"/>
  <c r="L20" i="6" l="1"/>
  <c r="M20" i="6" s="1"/>
  <c r="L38" i="6"/>
  <c r="L31" i="6"/>
  <c r="L26" i="6"/>
  <c r="L41" i="6"/>
  <c r="L30" i="6"/>
  <c r="L40" i="6"/>
  <c r="B60" i="3"/>
  <c r="E20" i="6"/>
  <c r="B43" i="2"/>
  <c r="F43" i="6"/>
  <c r="L17" i="6"/>
  <c r="F78" i="5"/>
  <c r="J17" i="6"/>
  <c r="F17" i="6"/>
  <c r="G7" i="6"/>
  <c r="G20" i="6" s="1"/>
  <c r="D14" i="5"/>
  <c r="D17" i="6"/>
  <c r="H17" i="6"/>
  <c r="J43" i="6"/>
  <c r="D43" i="6"/>
  <c r="H43" i="6"/>
  <c r="D85" i="5"/>
  <c r="B44" i="1"/>
  <c r="L43" i="6" l="1"/>
  <c r="F45" i="6"/>
  <c r="H45" i="6"/>
  <c r="D86" i="5"/>
  <c r="J45" i="6"/>
  <c r="L45" i="6"/>
  <c r="D45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2010 qb ytd" type="6" refreshedVersion="5" background="1" saveData="1">
    <textPr codePage="437" sourceFile="C:\Users\gina\Documents\wsba\2010 qb ytd.CSV" comma="1">
      <textFields count="3">
        <textField/>
        <textField/>
        <textField/>
      </textFields>
    </textPr>
  </connection>
  <connection id="2" xr16:uid="{00000000-0015-0000-FFFF-FFFF01000000}" name="2011 qb ytd" type="6" refreshedVersion="5" background="1" saveData="1">
    <textPr codePage="437" sourceFile="C:\Users\gina\Documents\wsba\2011 qb ytd.CSV" comma="1">
      <textFields count="3">
        <textField/>
        <textField/>
        <textField/>
      </textFields>
    </textPr>
  </connection>
  <connection id="3" xr16:uid="{00000000-0015-0000-FFFF-FFFF02000000}" name="2012 qb ytd" type="6" refreshedVersion="5" background="1" saveData="1">
    <textPr codePage="437" sourceFile="C:\Users\gina\Documents\wsba\2012 qb ytd.CSV" comma="1">
      <textFields count="3">
        <textField/>
        <textField/>
        <textField/>
      </textFields>
    </textPr>
  </connection>
  <connection id="4" xr16:uid="{00000000-0015-0000-FFFF-FFFF03000000}" name="2013qb ytd numbers" type="6" refreshedVersion="5" background="1" saveData="1">
    <textPr codePage="437" sourceFile="C:\Users\gina\Documents\wsba\2013qb ytd numbers.CSV" comma="1">
      <textFields count="3">
        <textField/>
        <textField/>
        <textField/>
      </textFields>
    </textPr>
  </connection>
  <connection id="5" xr16:uid="{00000000-0015-0000-FFFF-FFFF04000000}" name="2014 ytd qb data" type="6" refreshedVersion="5" background="1" saveData="1">
    <textPr codePage="437" sourceFile="C:\Users\gina\Documents\wsba\2014 ytd qb data.CSV" comma="1">
      <textFields count="3">
        <textField/>
        <textField/>
        <textField/>
      </textFields>
    </textPr>
  </connection>
  <connection id="6" xr16:uid="{00000000-0015-0000-FFFF-FFFF05000000}" name="2014pl final" type="6" refreshedVersion="5" background="1" saveData="1">
    <textPr codePage="437" sourceFile="C:\Users\gina\Documents\wsba\2014pl final.CSV" comma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<sst xmlns="http://schemas.openxmlformats.org/spreadsheetml/2006/main" count="1039" uniqueCount="379">
  <si>
    <t>Jan - Dec 10</t>
  </si>
  <si>
    <t>Income</t>
  </si>
  <si>
    <t>Revenue Share</t>
  </si>
  <si>
    <t>Total Income</t>
  </si>
  <si>
    <t>Camp Registrations</t>
  </si>
  <si>
    <t>Gift Received</t>
  </si>
  <si>
    <t>Interest Inc</t>
  </si>
  <si>
    <t>Membership Dues</t>
  </si>
  <si>
    <t>Promoters Fee</t>
  </si>
  <si>
    <t>Expense</t>
  </si>
  <si>
    <t>WSBA Officials</t>
  </si>
  <si>
    <t>Officials Class Fee</t>
  </si>
  <si>
    <t>Total WSBA Officials</t>
  </si>
  <si>
    <t>Junior Development Camp</t>
  </si>
  <si>
    <t>Groceries</t>
  </si>
  <si>
    <t>Registration Fees</t>
  </si>
  <si>
    <t>Camp Fees</t>
  </si>
  <si>
    <t>Total Junior Development Camp</t>
  </si>
  <si>
    <t>Awards</t>
  </si>
  <si>
    <t>Bank Charge</t>
  </si>
  <si>
    <t>Clothing</t>
  </si>
  <si>
    <t>Deposits Returned</t>
  </si>
  <si>
    <t>Dining</t>
  </si>
  <si>
    <t>Equipment</t>
  </si>
  <si>
    <t>Gifts Given</t>
  </si>
  <si>
    <t>Insurance</t>
  </si>
  <si>
    <t>Misc</t>
  </si>
  <si>
    <t>WSBA Numbers</t>
  </si>
  <si>
    <t>Office Supplies</t>
  </si>
  <si>
    <t>Payroll</t>
  </si>
  <si>
    <t>Professional Fees</t>
  </si>
  <si>
    <t>Legal Fees</t>
  </si>
  <si>
    <t>Professional Fees - Other</t>
  </si>
  <si>
    <t>Total Professional Fees</t>
  </si>
  <si>
    <t>Rent</t>
  </si>
  <si>
    <t>Tax</t>
  </si>
  <si>
    <t>Federal</t>
  </si>
  <si>
    <t>Total Tax</t>
  </si>
  <si>
    <t>Transfer From Savings</t>
  </si>
  <si>
    <t>Travel</t>
  </si>
  <si>
    <t>Total Expense</t>
  </si>
  <si>
    <t>Net Income</t>
  </si>
  <si>
    <t>Jan - Dec 11</t>
  </si>
  <si>
    <t>Officials Mentoring Fee</t>
  </si>
  <si>
    <t>Deposit Refund</t>
  </si>
  <si>
    <t>SSN</t>
  </si>
  <si>
    <t>WSBA BBQ</t>
  </si>
  <si>
    <t>Jan - Dec 12</t>
  </si>
  <si>
    <t>Refund</t>
  </si>
  <si>
    <t>State Revenue tx</t>
  </si>
  <si>
    <t>Independent Contractors</t>
  </si>
  <si>
    <t>President</t>
  </si>
  <si>
    <t>Vice-President</t>
  </si>
  <si>
    <t>Secretary</t>
  </si>
  <si>
    <t>Treasurer</t>
  </si>
  <si>
    <t>Coaching</t>
  </si>
  <si>
    <t>CX Upgrades</t>
  </si>
  <si>
    <t>Equipment Coordinator</t>
  </si>
  <si>
    <t>Membership Coordinator</t>
  </si>
  <si>
    <t>Permitting</t>
  </si>
  <si>
    <t>Results Coordinator</t>
  </si>
  <si>
    <t>WSBA Consultant</t>
  </si>
  <si>
    <t>Total Independent Contractors</t>
  </si>
  <si>
    <t>BARR refund</t>
  </si>
  <si>
    <t>Accounting</t>
  </si>
  <si>
    <t>Neutral Support Services</t>
  </si>
  <si>
    <t>Website Maintenance</t>
  </si>
  <si>
    <t>Scholarship</t>
  </si>
  <si>
    <t>Sponsorship</t>
  </si>
  <si>
    <t>Tax - Other</t>
  </si>
  <si>
    <t>Jan 1 - Dec 18, 13</t>
  </si>
  <si>
    <t>Grants</t>
  </si>
  <si>
    <t>Rental Fee</t>
  </si>
  <si>
    <t>Postage</t>
  </si>
  <si>
    <t>Reimbursement</t>
  </si>
  <si>
    <t>Barr Results</t>
  </si>
  <si>
    <t>Calendar Coordinator</t>
  </si>
  <si>
    <t>Juniors Coordinator</t>
  </si>
  <si>
    <t>Road Upgrades</t>
  </si>
  <si>
    <t>Track Upgrades</t>
  </si>
  <si>
    <t>Interest Exp</t>
  </si>
  <si>
    <t>Licenses</t>
  </si>
  <si>
    <t>Cycle University</t>
  </si>
  <si>
    <t>Cycle The Wave</t>
  </si>
  <si>
    <t>Sponsorship - Other</t>
  </si>
  <si>
    <t>Total Sponsorship</t>
  </si>
  <si>
    <t>State Revenue Tax</t>
  </si>
  <si>
    <t>Jan 1 - Dec 18, 14</t>
  </si>
  <si>
    <t>LA  Rebate</t>
  </si>
  <si>
    <t>Revenue Share - Other</t>
  </si>
  <si>
    <t>Total Revenue Share</t>
  </si>
  <si>
    <t>Equipment Rental</t>
  </si>
  <si>
    <t>Contributions</t>
  </si>
  <si>
    <t>Coaching-Clinics-Training</t>
  </si>
  <si>
    <t>officials Travel</t>
  </si>
  <si>
    <t>Officials Reimbursement Uniform</t>
  </si>
  <si>
    <t>Officials Reimbursement License</t>
  </si>
  <si>
    <t>MTB Insurance</t>
  </si>
  <si>
    <t>USAC One Day Licenses</t>
  </si>
  <si>
    <t>Dairy Queen</t>
  </si>
  <si>
    <t>Flying Horseshoe Ranch</t>
  </si>
  <si>
    <t>Gasoline</t>
  </si>
  <si>
    <t>Safeway</t>
  </si>
  <si>
    <t>Cash N Carry</t>
  </si>
  <si>
    <t>Costco</t>
  </si>
  <si>
    <t>Permit Fee</t>
  </si>
  <si>
    <t>Prizes</t>
  </si>
  <si>
    <t>T-Shirts</t>
  </si>
  <si>
    <t>Jr Camp Registrations</t>
  </si>
  <si>
    <t>Equipment Repairs</t>
  </si>
  <si>
    <t>Check Order</t>
  </si>
  <si>
    <t>Bank Charge - Other</t>
  </si>
  <si>
    <t>Total Bank Charge</t>
  </si>
  <si>
    <t>Property-Equipment</t>
  </si>
  <si>
    <t>General Liability</t>
  </si>
  <si>
    <t>Total Insurance</t>
  </si>
  <si>
    <t>WSBA CX Numbers</t>
  </si>
  <si>
    <t>Rental Numbers</t>
  </si>
  <si>
    <t>WSBA Numbers - Other</t>
  </si>
  <si>
    <t>Total WSBA Numbers</t>
  </si>
  <si>
    <t>Medicare</t>
  </si>
  <si>
    <t>State</t>
  </si>
  <si>
    <t>Utilities</t>
  </si>
  <si>
    <t>Garabage</t>
  </si>
  <si>
    <t>Total Utilities</t>
  </si>
  <si>
    <t>Donations (kemp ride)</t>
  </si>
  <si>
    <t>Gifts</t>
  </si>
  <si>
    <t>Expenses:</t>
  </si>
  <si>
    <t>Race Numbers</t>
  </si>
  <si>
    <t>Equipment Purchase/Repair</t>
  </si>
  <si>
    <t>BARR/Race Support</t>
  </si>
  <si>
    <t>USAC Talent CampScholarship</t>
  </si>
  <si>
    <t>LK Camp</t>
  </si>
  <si>
    <t>Legal</t>
  </si>
  <si>
    <t>Travel for LA mtg</t>
  </si>
  <si>
    <t>Website</t>
  </si>
  <si>
    <t>Independent contractors/payroll inc taxes</t>
  </si>
  <si>
    <t>Other Revenue</t>
  </si>
  <si>
    <t>Membership Revenue</t>
  </si>
  <si>
    <t>Total Expenses</t>
  </si>
  <si>
    <t>Net Profit/(Loss)</t>
  </si>
  <si>
    <t>Bank Fees/NSF Checks</t>
  </si>
  <si>
    <t>Notes:</t>
  </si>
  <si>
    <t>Accounting/Taxes(a)</t>
  </si>
  <si>
    <t>BARR entries/Awards/BBQ(b)</t>
  </si>
  <si>
    <t>(B) Clothing/Awards/BARR 10/11/12</t>
  </si>
  <si>
    <t>Misc (C)</t>
  </si>
  <si>
    <t xml:space="preserve"> </t>
  </si>
  <si>
    <t>Misc Income(d)</t>
  </si>
  <si>
    <t>(D) Refund 2012?</t>
  </si>
  <si>
    <t>(E)Called Sponsorships 2012/13</t>
  </si>
  <si>
    <t>(A) Professional fees in 10/11/12 &amp; net of state sales tax</t>
  </si>
  <si>
    <t>USAC/License Fee</t>
  </si>
  <si>
    <t>(C) Dining in here, 2013 reimbursement?</t>
  </si>
  <si>
    <t>Membership(f)</t>
  </si>
  <si>
    <t>LA Rebate(f)</t>
  </si>
  <si>
    <t>adj</t>
  </si>
  <si>
    <t>net</t>
  </si>
  <si>
    <t>Grants received(g)</t>
  </si>
  <si>
    <t>Grants(e),(g)</t>
  </si>
  <si>
    <t>(G)Grants have moved to negative Revenue on QB?</t>
  </si>
  <si>
    <t>Total</t>
  </si>
  <si>
    <t>Vice President</t>
  </si>
  <si>
    <t>(H)Didn't have data so took revenue/membership of $20</t>
  </si>
  <si>
    <r>
      <t># of members (</t>
    </r>
    <r>
      <rPr>
        <i/>
        <sz val="10"/>
        <color rgb="FFFF0000"/>
        <rFont val="Arial"/>
        <family val="2"/>
      </rPr>
      <t>H</t>
    </r>
    <r>
      <rPr>
        <sz val="10"/>
        <rFont val="Arial"/>
        <family val="2"/>
      </rPr>
      <t>)</t>
    </r>
  </si>
  <si>
    <t>2011(I)</t>
  </si>
  <si>
    <t>Jan 1 - Dec 30, 14</t>
  </si>
  <si>
    <t xml:space="preserve">(I) Ted thinks this was year Eastern WA pushed for WSBA Membership  </t>
  </si>
  <si>
    <t>2015 Budget</t>
  </si>
  <si>
    <t>Equipment Repair</t>
  </si>
  <si>
    <t>(J)Cycle U upgrade clinics? How many did $1925 buy us for 2014, Kenny Jr clinic $100</t>
  </si>
  <si>
    <t>Payment Procssing Fees</t>
  </si>
  <si>
    <t>Eastern WA Equipment Coordinator</t>
  </si>
  <si>
    <t xml:space="preserve">Official Training </t>
  </si>
  <si>
    <t>Racing Clinics(j)</t>
  </si>
  <si>
    <t>Larry Camp Registrations</t>
  </si>
  <si>
    <t>As of Nov 28</t>
  </si>
  <si>
    <t>Actuals 2015</t>
  </si>
  <si>
    <t>Championship Jerseys</t>
  </si>
  <si>
    <t>Membership Numbers Reconciliation:</t>
  </si>
  <si>
    <t>per bib listing report</t>
  </si>
  <si>
    <t>paid in 2015</t>
  </si>
  <si>
    <t>paid in 2014 for 2015 for usac 15 month promotion</t>
  </si>
  <si>
    <t>paid via paypal</t>
  </si>
  <si>
    <t>vs Budget</t>
  </si>
  <si>
    <t xml:space="preserve">Initial 2016 </t>
  </si>
  <si>
    <t>Budget</t>
  </si>
  <si>
    <t>Membership(A)</t>
  </si>
  <si>
    <t>LA Rebate(A)</t>
  </si>
  <si>
    <t># of members (B)</t>
  </si>
  <si>
    <t>Grants received</t>
  </si>
  <si>
    <t>Equipment Rental(C)</t>
  </si>
  <si>
    <t>Misc Income</t>
  </si>
  <si>
    <t>Race Numbers (D)</t>
  </si>
  <si>
    <t>Championship Jerseys(F)</t>
  </si>
  <si>
    <t xml:space="preserve">Misc </t>
  </si>
  <si>
    <t>Athletic Grants(G)</t>
  </si>
  <si>
    <t>Racing Clinics</t>
  </si>
  <si>
    <t>New Event Subsidy Program(H)</t>
  </si>
  <si>
    <t>Accounting/Taxes</t>
  </si>
  <si>
    <t>gina</t>
  </si>
  <si>
    <t>ted</t>
  </si>
  <si>
    <t>martha</t>
  </si>
  <si>
    <t>al</t>
  </si>
  <si>
    <t xml:space="preserve">  </t>
  </si>
  <si>
    <t>jim</t>
  </si>
  <si>
    <t>kenny</t>
  </si>
  <si>
    <t>joe</t>
  </si>
  <si>
    <t>annette</t>
  </si>
  <si>
    <t>marla</t>
  </si>
  <si>
    <t>Cross Coordinator</t>
  </si>
  <si>
    <t>Road Officials Coordinator</t>
  </si>
  <si>
    <t>michael</t>
  </si>
  <si>
    <t>Track Officials Coordinator</t>
  </si>
  <si>
    <t>zach</t>
  </si>
  <si>
    <t>added August 2015</t>
  </si>
  <si>
    <t>amara</t>
  </si>
  <si>
    <t>2016 Payments</t>
  </si>
  <si>
    <t>Road</t>
  </si>
  <si>
    <t>a</t>
  </si>
  <si>
    <t>b</t>
  </si>
  <si>
    <t>c</t>
  </si>
  <si>
    <t>d</t>
  </si>
  <si>
    <t>e</t>
  </si>
  <si>
    <t>Track</t>
  </si>
  <si>
    <t>Cross</t>
  </si>
  <si>
    <t>Mtb</t>
  </si>
  <si>
    <t>Rd Total</t>
  </si>
  <si>
    <t>CxTotal</t>
  </si>
  <si>
    <t>MtbTotal</t>
  </si>
  <si>
    <t>TrkTotal</t>
  </si>
  <si>
    <t>WSBATTL</t>
  </si>
  <si>
    <t>2015v2014</t>
  </si>
  <si>
    <t>LA Racer Day Rebate</t>
  </si>
  <si>
    <t>La RacerDay Rebate(A)</t>
  </si>
  <si>
    <t>4th Quarter payments not always aligned into proper year thus we show big variance ty vs ly</t>
  </si>
  <si>
    <t>2016 has a $.17 payment for racer days. Based on trends figured best to budget small decrease</t>
  </si>
  <si>
    <t>Does NOT include OR inclusion</t>
  </si>
  <si>
    <t xml:space="preserve">line item in reality. </t>
  </si>
  <si>
    <t xml:space="preserve">to add events across all disciplines &amp; parts of region.  This would allow for  15'ish grants averaging $300 </t>
  </si>
  <si>
    <t>1800 was what USAC showed for us in '15.  OR folks should be about 400-700.</t>
  </si>
  <si>
    <t>Opted to go with low end of OR numbers. Am pretty hopeful that we'll see more than this knowing other USAC/OBRA discussions</t>
  </si>
  <si>
    <t>BARR Awards/BBQ(E)</t>
  </si>
  <si>
    <t>BBQ is not looking promising but have some dollars allocated in case we pull it off</t>
  </si>
  <si>
    <t>USAC Talent CampScholarship(G)</t>
  </si>
  <si>
    <t xml:space="preserve">Will be publicizing these dollars across disciplines in 2016. USAC has a track ID program too. </t>
  </si>
  <si>
    <t>Also have an opportunity to help OR youth too</t>
  </si>
  <si>
    <t>Travel for LA mtg(J)</t>
  </si>
  <si>
    <t xml:space="preserve">part of the cost as they did this year. </t>
  </si>
  <si>
    <t>wsba $25</t>
  </si>
  <si>
    <t>USAC #'s</t>
  </si>
  <si>
    <t>Knowing timing issue assumed 300 rider payments are in wrong year based on 2015 trend</t>
  </si>
  <si>
    <t>Going to reconciliate USAC payments better this year. Am slightly concerned that with all the turnover there some payments were missed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</si>
  <si>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. Dec 2015 membership payment will arrive in Jan 2016. 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</si>
  <si>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. Assuming about even for members paying $25 membership. 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</si>
  <si>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. Reduced to account for championships not paying for rentals &amp; hope for an event or two to apply under discount program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</si>
  <si>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. This is before  $2k sponsorship as we rec'd this year. I would expect we'll have a sponsor in '16 for 2017 #'s  but best to be conservative</t>
    </r>
  </si>
  <si>
    <r>
      <rPr>
        <b/>
        <sz val="11"/>
        <color theme="1"/>
        <rFont val="Calibri"/>
        <family val="2"/>
        <scheme val="minor"/>
      </rPr>
      <t>E.</t>
    </r>
    <r>
      <rPr>
        <sz val="11"/>
        <color theme="1"/>
        <rFont val="Calibri"/>
        <family val="2"/>
        <scheme val="minor"/>
      </rPr>
      <t xml:space="preserve"> Added BACX in 2015. Mis-ordered initially so 1300 is more likely the number for 2015 &amp; 2016</t>
    </r>
  </si>
  <si>
    <r>
      <rPr>
        <b/>
        <sz val="11"/>
        <color theme="1"/>
        <rFont val="Calibri"/>
        <family val="2"/>
        <scheme val="minor"/>
      </rPr>
      <t>F.</t>
    </r>
    <r>
      <rPr>
        <sz val="11"/>
        <color theme="1"/>
        <rFont val="Calibri"/>
        <family val="2"/>
        <scheme val="minor"/>
      </rPr>
      <t xml:space="preserve"> Supplying Championship jerseys to all winner @ n/c in 2016. I think I have a $1500 sponsor lined up to lower this 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</si>
  <si>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. Still need to communicate these dollars better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</si>
  <si>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. Taking close to 50% of the savings for numbers &amp; applying to this program. Hopefully we use a chunk of it </t>
    </r>
  </si>
  <si>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. Cycle U clinics. Not sure if Craig plans on doing still since he is exploring a BRP series</t>
    </r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</si>
  <si>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. Hopefully will be combined with committee mtgs or Board meeting so I can get USAC to pick up </t>
    </r>
  </si>
  <si>
    <t>Independent contractors/payroll inc taxes(K)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</si>
  <si>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. No changes from 2015 that I can think of, but if OR begins to grow on us will</t>
    </r>
  </si>
  <si>
    <t>need to evaluate upgrade &amp; permit folks</t>
  </si>
  <si>
    <t>Call in Data</t>
  </si>
  <si>
    <t>1-302-202-1106 '</t>
  </si>
  <si>
    <t>pin 405268</t>
  </si>
  <si>
    <t>Payment Processing Fees</t>
  </si>
  <si>
    <t>Budget Notes:</t>
  </si>
  <si>
    <t>$25 direct membership sales</t>
  </si>
  <si>
    <t>Racer Day Info to date</t>
  </si>
  <si>
    <t>Initial 2017</t>
  </si>
  <si>
    <t>Website Design/Maintanance</t>
  </si>
  <si>
    <t>2017 Payments</t>
  </si>
  <si>
    <t xml:space="preserve">NEW? </t>
  </si>
  <si>
    <t>Racer Days</t>
  </si>
  <si>
    <t>f/g</t>
  </si>
  <si>
    <t>annual</t>
  </si>
  <si>
    <t>2016v2015</t>
  </si>
  <si>
    <t>2015 Ytd Comparison</t>
  </si>
  <si>
    <t>USAC rebate budget</t>
  </si>
  <si>
    <t>A. LA rebates run a quarter behind so always a bit hard to align these dollars</t>
  </si>
  <si>
    <t>B. Assuming declining $25 membership trend continues as racing days continue to fall</t>
  </si>
  <si>
    <t>C. Looking at equipment subsidy program expansion</t>
  </si>
  <si>
    <t>D. 2017 Bibs &amp; Frame numbers net of sponsor support</t>
  </si>
  <si>
    <t>Equipment Purchase/Repair(E)</t>
  </si>
  <si>
    <t>E. Anticipate replacing dead radios and exploring  adding car topper signs</t>
  </si>
  <si>
    <t>which is part of this budget line</t>
  </si>
  <si>
    <t>G. Absolute Mortgage remains in for 2017. Lost Ballard Public station. We'll end up with some out of pocket next</t>
  </si>
  <si>
    <t>year for jerseys too</t>
  </si>
  <si>
    <t>H. Hope to give similar dollars to youth next year. Not sure we need the 2 specific lines vs one racer support line</t>
  </si>
  <si>
    <t>I.  New Events subsidies were well received in 2016 so let's keep it going</t>
  </si>
  <si>
    <t>J. Spent a few more dollars this year trying to lessen some stress points for Tricia L (rental of van to take supplies over)</t>
  </si>
  <si>
    <t>Craig U tried to raise his coaching fees substantially this year. We may be looking for another coach to lead this event next</t>
  </si>
  <si>
    <t>year.</t>
  </si>
  <si>
    <t>K. LA meeting is moving to February for the foreseeable future. Assuming USAC will offset some of the cost</t>
  </si>
  <si>
    <t xml:space="preserve">L. Website person to revamp and maintain has been added to stipend list options </t>
  </si>
  <si>
    <t>thru 12/10</t>
  </si>
  <si>
    <t>F. REI  donation in memory of RC rogers will offset trophies this year. Metier is willing to host 2 social events with us</t>
  </si>
  <si>
    <t>Membership Income</t>
  </si>
  <si>
    <t>Total Membership Income</t>
  </si>
  <si>
    <t>Other Income</t>
  </si>
  <si>
    <t>A. Rebates &amp; Racer day rebates lag by a quarter</t>
  </si>
  <si>
    <t>B. Thus far more members than expected but suspect we don't get many more</t>
  </si>
  <si>
    <t>BARR Awards/BBQ</t>
  </si>
  <si>
    <t>Athletic Grants</t>
  </si>
  <si>
    <t>New Event Subsidy Program</t>
  </si>
  <si>
    <t>Travel for LA mtg(G)</t>
  </si>
  <si>
    <t>D. Dyna stolen numbers replacements</t>
  </si>
  <si>
    <t>Misc Income(C)</t>
  </si>
  <si>
    <t>C. Sponsorship dollars + travel stipend from USAC for LA meeting</t>
  </si>
  <si>
    <t>E. This money was spent in mid-April. To replace broken signs from sequim</t>
  </si>
  <si>
    <t>F. Outlay for entire year worth of jerseys</t>
  </si>
  <si>
    <t>G. LA meeting cost</t>
  </si>
  <si>
    <t>YTD thru 10/31/17</t>
  </si>
  <si>
    <t>46 sold since 9/30 on 18 month offer</t>
  </si>
  <si>
    <t>YTD thru 12/3/2017</t>
  </si>
  <si>
    <t>Initial 2018</t>
  </si>
  <si>
    <t>est</t>
  </si>
  <si>
    <t>2016vs17</t>
  </si>
  <si>
    <t>2018 est (usac)</t>
  </si>
  <si>
    <t>Est USAC</t>
  </si>
  <si>
    <t>Memberships</t>
  </si>
  <si>
    <t>A. Rebates &amp; Racer day rebates lag by a quarter .31 per racer day, $8 per membership per 2018 LA agreement</t>
  </si>
  <si>
    <t>B. Prefer to be conservative on $25 membership estimates</t>
  </si>
  <si>
    <t>D. No sponsorship assumed for 2019 order, 2018 order in 2017 data</t>
  </si>
  <si>
    <t xml:space="preserve">E. New car toppers, radio replacements all tbd. </t>
  </si>
  <si>
    <t>Other Grants</t>
  </si>
  <si>
    <t>USAC Talent Camp/Athletic Grants Scholarship</t>
  </si>
  <si>
    <t>C. Sponsorship &amp; USAC LA summit travel dollars for 2018</t>
  </si>
  <si>
    <t>Insurance(G)</t>
  </si>
  <si>
    <t>Travel for LA mtg(H)</t>
  </si>
  <si>
    <t>H. LA meeting cost, air + hotel. USAC Rebate in items C</t>
  </si>
  <si>
    <t>G. Estimate an increase + liability for eastside trailer</t>
  </si>
  <si>
    <t>Equipment Storage(I)</t>
  </si>
  <si>
    <t>I. Loss of Shipping container @ Kenny/Annettes $250/mo</t>
  </si>
  <si>
    <t>2018 YTD</t>
  </si>
  <si>
    <t>Year</t>
  </si>
  <si>
    <t>2018 Payments</t>
  </si>
  <si>
    <t>2019 Payments</t>
  </si>
  <si>
    <t>y</t>
  </si>
  <si>
    <t>Initial 2019</t>
  </si>
  <si>
    <t>Membership(a)</t>
  </si>
  <si>
    <t>usac</t>
  </si>
  <si>
    <t>wsba</t>
  </si>
  <si>
    <t>A. Rebates &amp; Racer day rebates lag by a quarter .31 per racer day, $8 per membership per what USAC has told me for the 2019 LA agreement</t>
  </si>
  <si>
    <t>C. Sponsorship &amp; USAC LA summit travel dollars for 2019</t>
  </si>
  <si>
    <t>Equipment Rental(D)</t>
  </si>
  <si>
    <t>D. Lost a few rentals from events who have opted to buy their own equipment</t>
  </si>
  <si>
    <t>E. New car toppers and potential radio extender</t>
  </si>
  <si>
    <t>F. Outlay for entire year worth of jerseys expect lower since no MTB championships</t>
  </si>
  <si>
    <t>Official Training (G)</t>
  </si>
  <si>
    <t>G. In case we have to rent room(s) again for classes</t>
  </si>
  <si>
    <t>USAC Talent Camp/Athletic Grants Scholarship(H)</t>
  </si>
  <si>
    <t>H. Assuming we have similar number of JR requests as this past year &amp; we're as generous</t>
  </si>
  <si>
    <t>I.  Funds for other grant requests outside of JRs &amp; new events</t>
  </si>
  <si>
    <t>Other Grants(I)</t>
  </si>
  <si>
    <t>New Event Subsidy Program(J)</t>
  </si>
  <si>
    <t>Racing Clinics(K)</t>
  </si>
  <si>
    <t>Travel for LA mtg(M)</t>
  </si>
  <si>
    <t>Equipment Storage(N)</t>
  </si>
  <si>
    <t>J. Assume same level of new events this year as last year</t>
  </si>
  <si>
    <t xml:space="preserve">K. BRP program at PR with Craig Undem </t>
  </si>
  <si>
    <t>LK Camp(L)</t>
  </si>
  <si>
    <t xml:space="preserve">L. Assume costs of putting on camp goes up again this year esp with having to pay for emts etc. </t>
  </si>
  <si>
    <t>M. LA Summit costs, USAC rebate in C above and is likely less than $150</t>
  </si>
  <si>
    <t>N. At this point in time Kenny/Annette not building tiny house</t>
  </si>
  <si>
    <t>+/- from PY</t>
  </si>
  <si>
    <t>kevin</t>
  </si>
  <si>
    <t>Cross Officials Coordinator eastside</t>
  </si>
  <si>
    <t>Mike Sirott</t>
  </si>
  <si>
    <t>Kevin</t>
  </si>
  <si>
    <t>Heather</t>
  </si>
  <si>
    <t>2020 Payments</t>
  </si>
  <si>
    <t>Scott Surgess</t>
  </si>
  <si>
    <t>Thru 12/1/19</t>
  </si>
  <si>
    <t>2019 YTD Actuals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</si>
</sst>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_);[Red]\(0\)"/>
    <numFmt numFmtId="165" formatCode="#,##0.00;\-#,##0.00"/>
    <numFmt numFmtId="166" formatCode="&quot;$&quot;#,##0"/>
    <numFmt numFmtId="167" formatCode="&quot;$&quot;#,##0.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b/>
      <sz val="12"/>
      <name val="Arial"/>
      <family val="2"/>
    </font>
    <font>
      <b/>
      <i/>
      <sz val="12"/>
      <name val="Arial"/>
      <family val="2"/>
    </font>
    <font>
      <sz val="10"/>
      <color rgb="FF222222"/>
      <name val="Arial"/>
      <family val="2"/>
    </font>
    <font>
      <i/>
      <sz val="11"/>
      <color rgb="FFFF0000"/>
      <name val="Calibri"/>
      <family val="2"/>
      <scheme val="minor"/>
    </font>
    <font>
      <i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B0F0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i/>
      <sz val="11"/>
      <color theme="3" tint="-0.499984740745262"/>
      <name val="Calibri"/>
      <family val="2"/>
      <scheme val="minor"/>
    </font>
    <font>
      <b/>
      <i/>
      <sz val="11"/>
      <color theme="3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ont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/>
    <xf numFmtId="6" fontId="0" fillId="0" borderId="0" xfId="0" applyNumberFormat="1"/>
    <xf numFmtId="0" fontId="0" fillId="2" borderId="0" xfId="0" applyFill="1"/>
    <xf numFmtId="4" fontId="0" fillId="0" borderId="0" xfId="0" applyNumberFormat="1"/>
    <xf numFmtId="0" fontId="7" fillId="0" borderId="0" xfId="0" applyFont="1"/>
    <xf numFmtId="164" fontId="1" fillId="0" borderId="0" xfId="0" applyNumberFormat="1" applyFont="1"/>
    <xf numFmtId="3" fontId="0" fillId="0" borderId="0" xfId="0" applyNumberFormat="1"/>
    <xf numFmtId="38" fontId="0" fillId="0" borderId="0" xfId="0" applyNumberFormat="1"/>
    <xf numFmtId="3" fontId="8" fillId="0" borderId="0" xfId="0" applyNumberFormat="1" applyFont="1"/>
    <xf numFmtId="8" fontId="8" fillId="0" borderId="0" xfId="0" applyNumberFormat="1" applyFont="1"/>
    <xf numFmtId="0" fontId="1" fillId="0" borderId="0" xfId="0" applyFont="1"/>
    <xf numFmtId="165" fontId="11" fillId="0" borderId="1" xfId="0" applyNumberFormat="1" applyFont="1" applyBorder="1"/>
    <xf numFmtId="165" fontId="11" fillId="0" borderId="0" xfId="0" applyNumberFormat="1" applyFont="1"/>
    <xf numFmtId="0" fontId="10" fillId="0" borderId="0" xfId="0" applyFont="1"/>
    <xf numFmtId="6" fontId="10" fillId="0" borderId="0" xfId="0" applyNumberFormat="1" applyFont="1"/>
    <xf numFmtId="42" fontId="10" fillId="0" borderId="0" xfId="0" applyNumberFormat="1" applyFont="1"/>
    <xf numFmtId="0" fontId="12" fillId="0" borderId="0" xfId="0" applyFont="1" applyFill="1" applyBorder="1" applyAlignment="1">
      <alignment horizontal="left" vertical="top" wrapText="1"/>
    </xf>
    <xf numFmtId="6" fontId="0" fillId="2" borderId="0" xfId="0" applyNumberFormat="1" applyFill="1"/>
    <xf numFmtId="42" fontId="0" fillId="0" borderId="0" xfId="0" applyNumberFormat="1"/>
    <xf numFmtId="3" fontId="13" fillId="0" borderId="0" xfId="0" applyNumberFormat="1" applyFont="1" applyFill="1" applyBorder="1" applyAlignment="1">
      <alignment horizontal="right" vertical="center" wrapText="1"/>
    </xf>
    <xf numFmtId="0" fontId="15" fillId="3" borderId="0" xfId="0" applyFont="1" applyFill="1"/>
    <xf numFmtId="6" fontId="15" fillId="3" borderId="0" xfId="0" applyNumberFormat="1" applyFont="1" applyFill="1"/>
    <xf numFmtId="42" fontId="15" fillId="3" borderId="0" xfId="0" applyNumberFormat="1" applyFont="1" applyFill="1"/>
    <xf numFmtId="1" fontId="0" fillId="0" borderId="0" xfId="0" applyNumberFormat="1"/>
    <xf numFmtId="0" fontId="16" fillId="3" borderId="0" xfId="0" applyFont="1" applyFill="1"/>
    <xf numFmtId="6" fontId="16" fillId="3" borderId="0" xfId="0" applyNumberFormat="1" applyFont="1" applyFill="1"/>
    <xf numFmtId="42" fontId="16" fillId="3" borderId="0" xfId="0" applyNumberFormat="1" applyFont="1" applyFill="1"/>
    <xf numFmtId="0" fontId="17" fillId="0" borderId="0" xfId="0" applyFont="1"/>
    <xf numFmtId="6" fontId="17" fillId="0" borderId="0" xfId="0" applyNumberFormat="1" applyFont="1"/>
    <xf numFmtId="0" fontId="0" fillId="3" borderId="0" xfId="0" applyFill="1"/>
    <xf numFmtId="10" fontId="0" fillId="0" borderId="0" xfId="0" applyNumberFormat="1"/>
    <xf numFmtId="6" fontId="13" fillId="0" borderId="0" xfId="0" applyNumberFormat="1" applyFont="1" applyFill="1" applyBorder="1" applyAlignment="1">
      <alignment horizontal="right" vertical="center" wrapText="1"/>
    </xf>
    <xf numFmtId="6" fontId="14" fillId="0" borderId="0" xfId="0" applyNumberFormat="1" applyFont="1"/>
    <xf numFmtId="8" fontId="0" fillId="0" borderId="0" xfId="0" applyNumberFormat="1"/>
    <xf numFmtId="6" fontId="8" fillId="0" borderId="0" xfId="0" applyNumberFormat="1" applyFont="1"/>
    <xf numFmtId="164" fontId="0" fillId="0" borderId="0" xfId="0" applyNumberFormat="1" applyFont="1"/>
    <xf numFmtId="6" fontId="0" fillId="0" borderId="0" xfId="0" applyNumberFormat="1" applyFont="1"/>
    <xf numFmtId="38" fontId="0" fillId="0" borderId="0" xfId="0" applyNumberFormat="1" applyFont="1"/>
    <xf numFmtId="0" fontId="8" fillId="0" borderId="0" xfId="0" applyFont="1"/>
    <xf numFmtId="38" fontId="8" fillId="0" borderId="0" xfId="0" applyNumberFormat="1" applyFont="1"/>
    <xf numFmtId="38" fontId="13" fillId="0" borderId="0" xfId="0" applyNumberFormat="1" applyFont="1"/>
    <xf numFmtId="38" fontId="13" fillId="0" borderId="1" xfId="0" applyNumberFormat="1" applyFont="1" applyBorder="1"/>
    <xf numFmtId="38" fontId="18" fillId="0" borderId="0" xfId="0" applyNumberFormat="1" applyFont="1"/>
    <xf numFmtId="0" fontId="19" fillId="3" borderId="0" xfId="0" applyFont="1" applyFill="1"/>
    <xf numFmtId="0" fontId="20" fillId="0" borderId="0" xfId="0" applyFont="1"/>
    <xf numFmtId="38" fontId="20" fillId="0" borderId="0" xfId="0" applyNumberFormat="1" applyFont="1"/>
    <xf numFmtId="38" fontId="21" fillId="0" borderId="0" xfId="0" applyNumberFormat="1" applyFont="1"/>
    <xf numFmtId="0" fontId="22" fillId="0" borderId="0" xfId="0" applyFont="1"/>
    <xf numFmtId="38" fontId="22" fillId="0" borderId="0" xfId="0" applyNumberFormat="1" applyFont="1"/>
    <xf numFmtId="0" fontId="23" fillId="0" borderId="0" xfId="0" applyFont="1"/>
    <xf numFmtId="6" fontId="1" fillId="0" borderId="0" xfId="0" applyNumberFormat="1" applyFont="1"/>
    <xf numFmtId="2" fontId="0" fillId="0" borderId="0" xfId="0" applyNumberFormat="1"/>
    <xf numFmtId="3" fontId="13" fillId="0" borderId="0" xfId="0" applyNumberFormat="1" applyFont="1"/>
    <xf numFmtId="3" fontId="0" fillId="0" borderId="0" xfId="0" applyNumberFormat="1" applyFont="1"/>
    <xf numFmtId="3" fontId="14" fillId="0" borderId="0" xfId="0" applyNumberFormat="1" applyFont="1"/>
    <xf numFmtId="3" fontId="10" fillId="0" borderId="0" xfId="0" applyNumberFormat="1" applyFont="1"/>
    <xf numFmtId="3" fontId="13" fillId="0" borderId="1" xfId="0" applyNumberFormat="1" applyFont="1" applyBorder="1"/>
    <xf numFmtId="164" fontId="24" fillId="0" borderId="0" xfId="0" applyNumberFormat="1" applyFont="1"/>
    <xf numFmtId="6" fontId="24" fillId="0" borderId="0" xfId="0" applyNumberFormat="1" applyFont="1"/>
    <xf numFmtId="6" fontId="25" fillId="0" borderId="0" xfId="0" applyNumberFormat="1" applyFont="1"/>
    <xf numFmtId="3" fontId="26" fillId="0" borderId="0" xfId="0" applyNumberFormat="1" applyFont="1"/>
    <xf numFmtId="3" fontId="25" fillId="0" borderId="0" xfId="0" applyNumberFormat="1" applyFont="1"/>
    <xf numFmtId="3" fontId="27" fillId="0" borderId="0" xfId="0" applyNumberFormat="1" applyFont="1"/>
    <xf numFmtId="3" fontId="28" fillId="0" borderId="0" xfId="0" applyNumberFormat="1" applyFont="1"/>
    <xf numFmtId="3" fontId="26" fillId="0" borderId="1" xfId="0" applyNumberFormat="1" applyFont="1" applyBorder="1"/>
    <xf numFmtId="38" fontId="25" fillId="0" borderId="0" xfId="0" applyNumberFormat="1" applyFont="1"/>
    <xf numFmtId="0" fontId="25" fillId="0" borderId="0" xfId="0" applyFont="1"/>
    <xf numFmtId="166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6" fontId="26" fillId="0" borderId="0" xfId="0" applyNumberFormat="1" applyFont="1"/>
    <xf numFmtId="6" fontId="27" fillId="0" borderId="0" xfId="0" applyNumberFormat="1" applyFont="1"/>
    <xf numFmtId="6" fontId="28" fillId="0" borderId="0" xfId="0" applyNumberFormat="1" applyFont="1"/>
    <xf numFmtId="6" fontId="26" fillId="0" borderId="1" xfId="0" applyNumberFormat="1" applyFont="1" applyBorder="1"/>
    <xf numFmtId="44" fontId="0" fillId="0" borderId="0" xfId="0" applyNumberFormat="1"/>
    <xf numFmtId="38" fontId="0" fillId="0" borderId="0" xfId="0" quotePrefix="1" applyNumberFormat="1"/>
    <xf numFmtId="166" fontId="1" fillId="0" borderId="0" xfId="0" applyNumberFormat="1" applyFont="1"/>
    <xf numFmtId="38" fontId="1" fillId="0" borderId="0" xfId="0" applyNumberFormat="1" applyFont="1"/>
    <xf numFmtId="167" fontId="0" fillId="0" borderId="0" xfId="0" applyNumberFormat="1"/>
    <xf numFmtId="3" fontId="1" fillId="0" borderId="0" xfId="0" applyNumberFormat="1" applyFont="1"/>
    <xf numFmtId="3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010 qb ytd" connectionId="1" xr16:uid="{00000000-0016-0000-00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011 qb ytd" connectionId="2" xr16:uid="{00000000-0016-0000-0100-000001000000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012 qb ytd" connectionId="3" xr16:uid="{00000000-0016-0000-0200-000002000000}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013qb ytd numbers" connectionId="4" xr16:uid="{00000000-0016-0000-0300-000003000000}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014 ytd qb data" connectionId="5" xr16:uid="{00000000-0016-0000-0400-000005000000}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014pl final_1" connectionId="6" xr16:uid="{00000000-0016-0000-0400-000004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4"/>
  <sheetViews>
    <sheetView workbookViewId="0">
      <selection activeCell="B46" sqref="A46:B49"/>
    </sheetView>
  </sheetViews>
  <sheetFormatPr defaultRowHeight="14.5" x14ac:dyDescent="0.35"/>
  <cols>
    <col min="1" max="1" width="30" bestFit="1" customWidth="1"/>
    <col min="2" max="2" width="11.1796875" bestFit="1" customWidth="1"/>
    <col min="3" max="3" width="15.54296875" customWidth="1"/>
  </cols>
  <sheetData>
    <row r="1" spans="1:2" x14ac:dyDescent="0.35">
      <c r="B1" t="s">
        <v>0</v>
      </c>
    </row>
    <row r="2" spans="1:2" x14ac:dyDescent="0.35">
      <c r="A2" t="s">
        <v>1</v>
      </c>
    </row>
    <row r="3" spans="1:2" x14ac:dyDescent="0.35">
      <c r="A3" t="s">
        <v>1</v>
      </c>
    </row>
    <row r="4" spans="1:2" x14ac:dyDescent="0.35">
      <c r="A4" t="s">
        <v>2</v>
      </c>
      <c r="B4">
        <v>23154.799999999999</v>
      </c>
    </row>
    <row r="5" spans="1:2" x14ac:dyDescent="0.35">
      <c r="A5" t="s">
        <v>3</v>
      </c>
      <c r="B5" t="s">
        <v>147</v>
      </c>
    </row>
    <row r="6" spans="1:2" x14ac:dyDescent="0.35">
      <c r="A6" t="s">
        <v>4</v>
      </c>
      <c r="B6">
        <v>4200</v>
      </c>
    </row>
    <row r="7" spans="1:2" x14ac:dyDescent="0.35">
      <c r="A7" t="s">
        <v>5</v>
      </c>
      <c r="B7">
        <v>1468</v>
      </c>
    </row>
    <row r="8" spans="1:2" x14ac:dyDescent="0.35">
      <c r="A8" t="s">
        <v>6</v>
      </c>
      <c r="B8">
        <v>6.31</v>
      </c>
    </row>
    <row r="9" spans="1:2" x14ac:dyDescent="0.35">
      <c r="A9" t="s">
        <v>7</v>
      </c>
      <c r="B9">
        <v>31105.88</v>
      </c>
    </row>
    <row r="10" spans="1:2" x14ac:dyDescent="0.35">
      <c r="A10" t="s">
        <v>8</v>
      </c>
      <c r="B10">
        <v>5800</v>
      </c>
    </row>
    <row r="11" spans="1:2" x14ac:dyDescent="0.35">
      <c r="A11" t="s">
        <v>3</v>
      </c>
      <c r="B11">
        <f>SUM(B4:B10)</f>
        <v>65734.990000000005</v>
      </c>
    </row>
    <row r="12" spans="1:2" x14ac:dyDescent="0.35">
      <c r="A12" t="s">
        <v>9</v>
      </c>
    </row>
    <row r="13" spans="1:2" x14ac:dyDescent="0.35">
      <c r="A13" t="s">
        <v>10</v>
      </c>
    </row>
    <row r="14" spans="1:2" x14ac:dyDescent="0.35">
      <c r="A14" t="s">
        <v>11</v>
      </c>
      <c r="B14" s="11">
        <v>139.97999999999999</v>
      </c>
    </row>
    <row r="15" spans="1:2" x14ac:dyDescent="0.35">
      <c r="A15" t="s">
        <v>12</v>
      </c>
      <c r="B15" s="11" t="s">
        <v>147</v>
      </c>
    </row>
    <row r="16" spans="1:2" x14ac:dyDescent="0.35">
      <c r="A16" t="s">
        <v>13</v>
      </c>
    </row>
    <row r="17" spans="1:2" x14ac:dyDescent="0.35">
      <c r="A17" t="s">
        <v>14</v>
      </c>
      <c r="B17" s="11">
        <v>1136.58</v>
      </c>
    </row>
    <row r="18" spans="1:2" x14ac:dyDescent="0.35">
      <c r="A18" t="s">
        <v>15</v>
      </c>
      <c r="B18" s="11">
        <v>85</v>
      </c>
    </row>
    <row r="19" spans="1:2" x14ac:dyDescent="0.35">
      <c r="A19" t="s">
        <v>16</v>
      </c>
      <c r="B19" s="11">
        <v>4340</v>
      </c>
    </row>
    <row r="20" spans="1:2" x14ac:dyDescent="0.35">
      <c r="A20" t="s">
        <v>17</v>
      </c>
      <c r="B20" s="11" t="s">
        <v>147</v>
      </c>
    </row>
    <row r="21" spans="1:2" x14ac:dyDescent="0.35">
      <c r="A21" t="s">
        <v>18</v>
      </c>
      <c r="B21" s="11">
        <v>3154.53</v>
      </c>
    </row>
    <row r="22" spans="1:2" x14ac:dyDescent="0.35">
      <c r="A22" t="s">
        <v>19</v>
      </c>
      <c r="B22" s="11">
        <v>86</v>
      </c>
    </row>
    <row r="23" spans="1:2" x14ac:dyDescent="0.35">
      <c r="A23" t="s">
        <v>20</v>
      </c>
      <c r="B23" s="11">
        <v>128.53</v>
      </c>
    </row>
    <row r="24" spans="1:2" x14ac:dyDescent="0.35">
      <c r="A24" t="s">
        <v>21</v>
      </c>
      <c r="B24" s="11">
        <v>200</v>
      </c>
    </row>
    <row r="25" spans="1:2" x14ac:dyDescent="0.35">
      <c r="A25" t="s">
        <v>22</v>
      </c>
      <c r="B25" s="11">
        <v>196.72</v>
      </c>
    </row>
    <row r="26" spans="1:2" x14ac:dyDescent="0.35">
      <c r="A26" t="s">
        <v>23</v>
      </c>
      <c r="B26" s="11">
        <v>10313.459999999999</v>
      </c>
    </row>
    <row r="27" spans="1:2" x14ac:dyDescent="0.35">
      <c r="A27" t="s">
        <v>24</v>
      </c>
      <c r="B27" s="11">
        <v>9745</v>
      </c>
    </row>
    <row r="28" spans="1:2" x14ac:dyDescent="0.35">
      <c r="A28" t="s">
        <v>25</v>
      </c>
      <c r="B28" s="11">
        <v>3322</v>
      </c>
    </row>
    <row r="29" spans="1:2" x14ac:dyDescent="0.35">
      <c r="A29" t="s">
        <v>26</v>
      </c>
      <c r="B29" s="11">
        <v>775.05</v>
      </c>
    </row>
    <row r="30" spans="1:2" x14ac:dyDescent="0.35">
      <c r="A30" t="s">
        <v>27</v>
      </c>
      <c r="B30" s="11">
        <v>22864.92</v>
      </c>
    </row>
    <row r="31" spans="1:2" x14ac:dyDescent="0.35">
      <c r="A31" t="s">
        <v>28</v>
      </c>
      <c r="B31" s="11">
        <v>581.03</v>
      </c>
    </row>
    <row r="32" spans="1:2" x14ac:dyDescent="0.35">
      <c r="A32" t="s">
        <v>29</v>
      </c>
      <c r="B32" s="11">
        <v>13390.75</v>
      </c>
    </row>
    <row r="33" spans="1:3" x14ac:dyDescent="0.35">
      <c r="A33" t="s">
        <v>30</v>
      </c>
    </row>
    <row r="34" spans="1:3" x14ac:dyDescent="0.35">
      <c r="A34" t="s">
        <v>31</v>
      </c>
      <c r="B34" s="11">
        <v>868.22</v>
      </c>
    </row>
    <row r="35" spans="1:3" x14ac:dyDescent="0.35">
      <c r="A35" t="s">
        <v>32</v>
      </c>
      <c r="B35" s="11">
        <v>5181</v>
      </c>
    </row>
    <row r="36" spans="1:3" x14ac:dyDescent="0.35">
      <c r="A36" t="s">
        <v>33</v>
      </c>
      <c r="B36" s="11" t="s">
        <v>147</v>
      </c>
    </row>
    <row r="37" spans="1:3" x14ac:dyDescent="0.35">
      <c r="A37" t="s">
        <v>34</v>
      </c>
      <c r="B37" s="11">
        <v>2620</v>
      </c>
    </row>
    <row r="38" spans="1:3" x14ac:dyDescent="0.35">
      <c r="A38" t="s">
        <v>35</v>
      </c>
    </row>
    <row r="39" spans="1:3" x14ac:dyDescent="0.35">
      <c r="A39" t="s">
        <v>36</v>
      </c>
      <c r="B39" s="11">
        <v>2019.6</v>
      </c>
    </row>
    <row r="40" spans="1:3" x14ac:dyDescent="0.35">
      <c r="A40" t="s">
        <v>37</v>
      </c>
      <c r="B40" s="11" t="s">
        <v>147</v>
      </c>
    </row>
    <row r="41" spans="1:3" x14ac:dyDescent="0.35">
      <c r="A41" t="s">
        <v>38</v>
      </c>
      <c r="C41">
        <v>-65</v>
      </c>
    </row>
    <row r="42" spans="1:3" x14ac:dyDescent="0.35">
      <c r="A42" t="s">
        <v>39</v>
      </c>
      <c r="B42" s="11">
        <v>373.3</v>
      </c>
    </row>
    <row r="43" spans="1:3" x14ac:dyDescent="0.35">
      <c r="A43" t="s">
        <v>40</v>
      </c>
      <c r="B43">
        <f>SUM(B14:B42)</f>
        <v>81521.670000000013</v>
      </c>
    </row>
    <row r="44" spans="1:3" x14ac:dyDescent="0.35">
      <c r="A44" t="s">
        <v>41</v>
      </c>
      <c r="B44">
        <f>B11-B43</f>
        <v>-15786.680000000008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81"/>
  <sheetViews>
    <sheetView topLeftCell="A7" zoomScaleNormal="100" workbookViewId="0">
      <selection activeCell="E77" sqref="E77"/>
    </sheetView>
  </sheetViews>
  <sheetFormatPr defaultRowHeight="15.5" x14ac:dyDescent="0.35"/>
  <cols>
    <col min="1" max="1" width="33.54296875" customWidth="1"/>
    <col min="3" max="3" width="19.6328125" customWidth="1"/>
    <col min="5" max="5" width="11.6328125" style="75" bestFit="1" customWidth="1"/>
    <col min="6" max="6" width="9.1796875" customWidth="1"/>
    <col min="7" max="7" width="3.36328125" style="53" customWidth="1"/>
    <col min="8" max="8" width="2.54296875" customWidth="1"/>
    <col min="9" max="9" width="15.90625" customWidth="1"/>
    <col min="10" max="26" width="9.1796875" customWidth="1"/>
  </cols>
  <sheetData>
    <row r="1" spans="1:18" x14ac:dyDescent="0.35">
      <c r="A1" s="1"/>
      <c r="C1" s="58" t="s">
        <v>319</v>
      </c>
      <c r="E1" s="66" t="s">
        <v>318</v>
      </c>
      <c r="J1" t="s">
        <v>147</v>
      </c>
      <c r="L1" t="s">
        <v>323</v>
      </c>
    </row>
    <row r="2" spans="1:18" x14ac:dyDescent="0.35">
      <c r="A2" s="1"/>
      <c r="C2" s="58" t="s">
        <v>186</v>
      </c>
      <c r="E2" s="67" t="s">
        <v>147</v>
      </c>
      <c r="J2">
        <v>2017</v>
      </c>
      <c r="L2">
        <v>2018</v>
      </c>
    </row>
    <row r="3" spans="1:18" x14ac:dyDescent="0.35">
      <c r="A3" s="5" t="s">
        <v>301</v>
      </c>
      <c r="C3" s="56"/>
      <c r="E3" s="68"/>
      <c r="I3" t="s">
        <v>277</v>
      </c>
      <c r="J3" s="15">
        <f>'Racer Days'!D3</f>
        <v>15485</v>
      </c>
      <c r="K3" s="15"/>
      <c r="L3" s="15">
        <f>'Racer Days'!I3</f>
        <v>12501</v>
      </c>
    </row>
    <row r="4" spans="1:18" x14ac:dyDescent="0.35">
      <c r="A4" s="2" t="s">
        <v>187</v>
      </c>
      <c r="C4" s="57">
        <f>C10*25</f>
        <v>25000</v>
      </c>
      <c r="D4" s="16"/>
      <c r="E4" s="69">
        <f>26630.95</f>
        <v>26630.95</v>
      </c>
      <c r="F4" s="16"/>
      <c r="G4" s="54"/>
      <c r="I4" t="s">
        <v>324</v>
      </c>
      <c r="J4" s="15">
        <v>1357</v>
      </c>
      <c r="K4" s="15"/>
      <c r="L4" s="15">
        <v>1206</v>
      </c>
    </row>
    <row r="5" spans="1:18" x14ac:dyDescent="0.35">
      <c r="A5" s="2" t="s">
        <v>188</v>
      </c>
      <c r="C5" s="57">
        <f>L4*8</f>
        <v>9648</v>
      </c>
      <c r="D5" s="16"/>
      <c r="E5" s="69">
        <v>7464.49</v>
      </c>
      <c r="F5" s="16"/>
      <c r="G5" s="54"/>
      <c r="J5" t="s">
        <v>147</v>
      </c>
    </row>
    <row r="6" spans="1:18" x14ac:dyDescent="0.35">
      <c r="A6" s="2" t="s">
        <v>234</v>
      </c>
      <c r="C6" s="57">
        <f>0.31*L3</f>
        <v>3875.31</v>
      </c>
      <c r="D6" s="16"/>
      <c r="E6" s="69">
        <v>2137.84</v>
      </c>
      <c r="F6" s="16"/>
      <c r="G6" s="54"/>
      <c r="Q6">
        <f>4000/23</f>
        <v>173.91304347826087</v>
      </c>
    </row>
    <row r="7" spans="1:18" x14ac:dyDescent="0.35">
      <c r="A7" s="2"/>
      <c r="C7" s="57"/>
      <c r="D7" s="16"/>
      <c r="E7" s="70"/>
      <c r="F7" s="16"/>
      <c r="G7" s="54"/>
    </row>
    <row r="8" spans="1:18" x14ac:dyDescent="0.35">
      <c r="A8" s="2" t="s">
        <v>302</v>
      </c>
      <c r="C8" s="57">
        <f>SUM(C4:C6)</f>
        <v>38523.31</v>
      </c>
      <c r="D8" s="16"/>
      <c r="E8" s="71">
        <f>SUM(E4:E6)</f>
        <v>36233.279999999999</v>
      </c>
      <c r="F8" s="16"/>
      <c r="G8" s="54"/>
    </row>
    <row r="9" spans="1:18" x14ac:dyDescent="0.35">
      <c r="A9" s="2"/>
      <c r="C9" s="57"/>
      <c r="D9" s="16"/>
      <c r="E9" s="72"/>
      <c r="F9" s="16"/>
      <c r="G9" s="54"/>
    </row>
    <row r="10" spans="1:18" x14ac:dyDescent="0.35">
      <c r="A10" s="2" t="s">
        <v>189</v>
      </c>
      <c r="C10" s="57">
        <v>1000</v>
      </c>
      <c r="D10" s="16"/>
      <c r="E10" s="70">
        <v>1138</v>
      </c>
      <c r="F10" s="16"/>
      <c r="G10" s="54"/>
      <c r="R10" t="s">
        <v>147</v>
      </c>
    </row>
    <row r="11" spans="1:18" x14ac:dyDescent="0.35">
      <c r="A11" s="2"/>
      <c r="C11" s="57"/>
      <c r="D11" s="16"/>
      <c r="E11" s="70"/>
      <c r="F11" s="16"/>
      <c r="G11" s="54"/>
    </row>
    <row r="12" spans="1:18" x14ac:dyDescent="0.35">
      <c r="A12" s="6" t="s">
        <v>303</v>
      </c>
      <c r="C12" s="57"/>
      <c r="D12" s="16"/>
      <c r="E12" s="70"/>
      <c r="F12" s="16"/>
      <c r="G12" s="54"/>
    </row>
    <row r="13" spans="1:18" x14ac:dyDescent="0.35">
      <c r="A13" s="3" t="s">
        <v>175</v>
      </c>
      <c r="C13" s="57">
        <v>7000</v>
      </c>
      <c r="D13" s="16"/>
      <c r="E13" s="69">
        <v>7280</v>
      </c>
      <c r="F13" s="16"/>
      <c r="G13" s="54"/>
    </row>
    <row r="14" spans="1:18" x14ac:dyDescent="0.35">
      <c r="A14" s="3" t="s">
        <v>125</v>
      </c>
      <c r="C14" s="57">
        <v>4000</v>
      </c>
      <c r="D14" s="16"/>
      <c r="E14" s="69">
        <v>4705</v>
      </c>
      <c r="F14" s="16"/>
      <c r="G14" s="54"/>
    </row>
    <row r="15" spans="1:18" x14ac:dyDescent="0.35">
      <c r="A15" s="3" t="s">
        <v>126</v>
      </c>
      <c r="C15" s="57"/>
      <c r="D15" s="16"/>
      <c r="E15" s="70">
        <v>459</v>
      </c>
      <c r="F15" s="16"/>
      <c r="G15" s="54"/>
    </row>
    <row r="16" spans="1:18" x14ac:dyDescent="0.35">
      <c r="A16" s="3" t="s">
        <v>190</v>
      </c>
      <c r="C16" s="57"/>
      <c r="D16" s="16"/>
      <c r="E16" s="70"/>
      <c r="F16" s="16"/>
      <c r="G16" s="54"/>
    </row>
    <row r="17" spans="1:19" x14ac:dyDescent="0.35">
      <c r="A17" s="3" t="s">
        <v>311</v>
      </c>
      <c r="C17" s="57">
        <v>1850</v>
      </c>
      <c r="D17" s="16"/>
      <c r="E17" s="69">
        <f>2250</f>
        <v>2250</v>
      </c>
      <c r="F17" s="16"/>
      <c r="G17" s="54"/>
    </row>
    <row r="18" spans="1:19" ht="16" thickBot="1" x14ac:dyDescent="0.4">
      <c r="A18" s="3" t="s">
        <v>91</v>
      </c>
      <c r="C18" s="57">
        <v>2000</v>
      </c>
      <c r="D18" s="16"/>
      <c r="E18" s="73">
        <v>2469</v>
      </c>
      <c r="F18" s="16"/>
      <c r="G18" s="54"/>
    </row>
    <row r="19" spans="1:19" x14ac:dyDescent="0.35">
      <c r="A19" s="3"/>
      <c r="C19" s="57"/>
      <c r="D19" s="16"/>
      <c r="E19" s="70"/>
      <c r="F19" s="16"/>
      <c r="G19" s="54"/>
    </row>
    <row r="20" spans="1:19" x14ac:dyDescent="0.35">
      <c r="A20" s="8" t="s">
        <v>3</v>
      </c>
      <c r="C20" s="57">
        <f>SUM(C13:C18)+C8</f>
        <v>53373.31</v>
      </c>
      <c r="D20" s="16"/>
      <c r="E20" s="70">
        <f>SUM(E13:E18)+E8</f>
        <v>53396.28</v>
      </c>
      <c r="F20" s="16" t="s">
        <v>147</v>
      </c>
      <c r="G20" s="55"/>
      <c r="R20" s="12"/>
      <c r="S20" s="12"/>
    </row>
    <row r="21" spans="1:19" x14ac:dyDescent="0.35">
      <c r="A21" s="3"/>
      <c r="C21" s="57"/>
      <c r="D21" s="16"/>
      <c r="E21" s="74"/>
      <c r="F21" s="16"/>
      <c r="G21" s="54"/>
    </row>
    <row r="22" spans="1:19" x14ac:dyDescent="0.35">
      <c r="A22" s="7" t="s">
        <v>127</v>
      </c>
      <c r="C22" s="57"/>
      <c r="D22" s="16"/>
      <c r="E22" s="74"/>
      <c r="F22" s="16"/>
      <c r="G22" s="54"/>
    </row>
    <row r="23" spans="1:19" x14ac:dyDescent="0.35">
      <c r="A23" s="3" t="s">
        <v>193</v>
      </c>
      <c r="C23" s="57">
        <v>2500</v>
      </c>
      <c r="D23" s="16"/>
      <c r="E23" s="74">
        <v>-35</v>
      </c>
      <c r="F23" s="16"/>
      <c r="G23" s="55"/>
    </row>
    <row r="24" spans="1:19" x14ac:dyDescent="0.35">
      <c r="A24" s="3" t="s">
        <v>287</v>
      </c>
      <c r="C24" s="57">
        <v>4000</v>
      </c>
      <c r="D24" s="16"/>
      <c r="E24" s="74">
        <v>2832</v>
      </c>
      <c r="F24" s="16"/>
      <c r="G24" s="55"/>
    </row>
    <row r="25" spans="1:19" x14ac:dyDescent="0.35">
      <c r="A25" s="3" t="s">
        <v>130</v>
      </c>
      <c r="C25" s="57"/>
      <c r="D25" s="16"/>
      <c r="E25" s="74"/>
      <c r="F25" s="16"/>
      <c r="G25" s="55"/>
    </row>
    <row r="26" spans="1:19" x14ac:dyDescent="0.35">
      <c r="A26" s="3" t="s">
        <v>306</v>
      </c>
      <c r="C26" s="57">
        <v>500</v>
      </c>
      <c r="D26" s="16"/>
      <c r="E26" s="74">
        <v>517</v>
      </c>
      <c r="F26" s="16"/>
      <c r="G26" s="55"/>
    </row>
    <row r="27" spans="1:19" x14ac:dyDescent="0.35">
      <c r="A27" s="3" t="s">
        <v>194</v>
      </c>
      <c r="C27" s="57">
        <v>3000</v>
      </c>
      <c r="D27" s="16"/>
      <c r="E27" s="74">
        <v>2941</v>
      </c>
      <c r="F27" s="16"/>
      <c r="G27" s="55"/>
    </row>
    <row r="28" spans="1:19" x14ac:dyDescent="0.35">
      <c r="A28" s="25" t="s">
        <v>269</v>
      </c>
      <c r="C28" s="57">
        <v>500</v>
      </c>
      <c r="D28" s="16"/>
      <c r="E28" s="74">
        <f>-670+360</f>
        <v>-310</v>
      </c>
      <c r="F28" s="16"/>
      <c r="G28" s="55"/>
    </row>
    <row r="29" spans="1:19" x14ac:dyDescent="0.35">
      <c r="A29" s="3" t="s">
        <v>173</v>
      </c>
      <c r="C29" s="57">
        <v>400</v>
      </c>
      <c r="D29" s="16"/>
      <c r="E29" s="74">
        <v>27</v>
      </c>
      <c r="F29" s="16"/>
      <c r="G29" s="55"/>
    </row>
    <row r="30" spans="1:19" x14ac:dyDescent="0.35">
      <c r="A30" s="2" t="s">
        <v>330</v>
      </c>
      <c r="C30" s="57">
        <v>1500</v>
      </c>
      <c r="D30" s="16"/>
      <c r="E30" s="74"/>
      <c r="F30" s="16"/>
      <c r="G30" s="55"/>
    </row>
    <row r="31" spans="1:19" x14ac:dyDescent="0.35">
      <c r="A31" s="4" t="s">
        <v>329</v>
      </c>
      <c r="C31" s="57">
        <v>1500</v>
      </c>
      <c r="D31" s="16"/>
      <c r="E31" s="74">
        <v>1064</v>
      </c>
      <c r="F31" s="16"/>
      <c r="G31" s="55"/>
    </row>
    <row r="32" spans="1:19" x14ac:dyDescent="0.35">
      <c r="A32" s="4" t="s">
        <v>308</v>
      </c>
      <c r="C32" s="57">
        <v>4000</v>
      </c>
      <c r="D32" s="16"/>
      <c r="E32" s="74">
        <v>1000</v>
      </c>
      <c r="F32" s="16"/>
      <c r="G32" s="55"/>
    </row>
    <row r="33" spans="1:19" x14ac:dyDescent="0.35">
      <c r="A33" s="4" t="s">
        <v>197</v>
      </c>
      <c r="C33" s="57">
        <v>1800</v>
      </c>
      <c r="D33" s="16"/>
      <c r="E33" s="74">
        <v>1425</v>
      </c>
      <c r="F33" s="16"/>
      <c r="G33" s="55"/>
    </row>
    <row r="34" spans="1:19" x14ac:dyDescent="0.35">
      <c r="A34" s="3" t="s">
        <v>132</v>
      </c>
      <c r="C34" s="57">
        <v>8300</v>
      </c>
      <c r="D34" s="16"/>
      <c r="E34" s="74">
        <v>8312.75</v>
      </c>
      <c r="F34" s="16"/>
      <c r="G34" s="55"/>
    </row>
    <row r="35" spans="1:19" x14ac:dyDescent="0.35">
      <c r="A35" s="3" t="s">
        <v>332</v>
      </c>
      <c r="C35" s="57">
        <v>3500</v>
      </c>
      <c r="D35" s="16"/>
      <c r="E35" s="74">
        <v>2793</v>
      </c>
      <c r="F35" s="16"/>
      <c r="G35" s="55"/>
    </row>
    <row r="36" spans="1:19" x14ac:dyDescent="0.35">
      <c r="A36" s="3" t="s">
        <v>28</v>
      </c>
      <c r="C36" s="57">
        <v>300</v>
      </c>
      <c r="D36" s="16"/>
      <c r="E36" s="74"/>
      <c r="F36" s="16"/>
      <c r="G36" s="55"/>
    </row>
    <row r="37" spans="1:19" x14ac:dyDescent="0.35">
      <c r="A37" s="3" t="s">
        <v>73</v>
      </c>
      <c r="C37" s="57">
        <v>1300</v>
      </c>
      <c r="D37" s="16"/>
      <c r="E37" s="74">
        <v>1062</v>
      </c>
      <c r="F37" s="16"/>
      <c r="G37" s="55"/>
    </row>
    <row r="38" spans="1:19" x14ac:dyDescent="0.35">
      <c r="A38" s="3" t="s">
        <v>133</v>
      </c>
      <c r="C38" s="57">
        <v>0</v>
      </c>
      <c r="D38" s="16"/>
      <c r="E38" s="74"/>
      <c r="F38" s="16"/>
      <c r="G38" s="55"/>
    </row>
    <row r="39" spans="1:19" x14ac:dyDescent="0.35">
      <c r="A39" s="3" t="s">
        <v>152</v>
      </c>
      <c r="C39" s="57">
        <v>200</v>
      </c>
      <c r="D39" s="16"/>
      <c r="E39" s="74">
        <v>130</v>
      </c>
      <c r="F39" s="16"/>
      <c r="G39" s="55"/>
    </row>
    <row r="40" spans="1:19" x14ac:dyDescent="0.35">
      <c r="A40" s="3" t="s">
        <v>333</v>
      </c>
      <c r="C40" s="57">
        <v>450</v>
      </c>
      <c r="D40" s="16"/>
      <c r="E40" s="74">
        <f>240-100</f>
        <v>140</v>
      </c>
      <c r="F40" s="16"/>
      <c r="G40" s="55"/>
    </row>
    <row r="41" spans="1:19" x14ac:dyDescent="0.35">
      <c r="A41" s="3" t="s">
        <v>195</v>
      </c>
      <c r="C41" s="57">
        <v>200</v>
      </c>
      <c r="D41" s="16"/>
      <c r="E41" s="74" t="s">
        <v>147</v>
      </c>
      <c r="F41" s="16"/>
      <c r="G41" s="55"/>
    </row>
    <row r="42" spans="1:19" x14ac:dyDescent="0.35">
      <c r="A42" s="3" t="s">
        <v>141</v>
      </c>
      <c r="C42" s="57">
        <v>250</v>
      </c>
      <c r="D42" s="16"/>
      <c r="E42" s="74">
        <v>3</v>
      </c>
      <c r="F42" s="16"/>
      <c r="G42" s="55"/>
    </row>
    <row r="43" spans="1:19" x14ac:dyDescent="0.35">
      <c r="A43" s="3" t="s">
        <v>135</v>
      </c>
      <c r="C43" s="57"/>
      <c r="D43" s="16"/>
      <c r="E43" s="74"/>
      <c r="F43" s="16"/>
      <c r="G43" s="55"/>
    </row>
    <row r="44" spans="1:19" x14ac:dyDescent="0.35">
      <c r="A44" s="3" t="s">
        <v>199</v>
      </c>
      <c r="C44" s="57">
        <v>2000</v>
      </c>
      <c r="D44" s="16"/>
      <c r="E44" s="74">
        <v>900</v>
      </c>
      <c r="F44" s="16"/>
      <c r="G44" s="55"/>
    </row>
    <row r="45" spans="1:19" ht="25" x14ac:dyDescent="0.35">
      <c r="A45" s="3" t="s">
        <v>136</v>
      </c>
      <c r="C45" s="57">
        <f>Stipends!H24</f>
        <v>19050</v>
      </c>
      <c r="D45" s="16"/>
      <c r="E45" s="74">
        <v>19050</v>
      </c>
      <c r="F45" s="16"/>
      <c r="G45" s="54"/>
    </row>
    <row r="46" spans="1:19" x14ac:dyDescent="0.35">
      <c r="A46" s="3" t="s">
        <v>336</v>
      </c>
      <c r="C46" s="57">
        <v>3000</v>
      </c>
      <c r="D46" s="16"/>
      <c r="E46" s="74"/>
      <c r="F46" s="16"/>
      <c r="G46" s="54"/>
    </row>
    <row r="47" spans="1:19" x14ac:dyDescent="0.35">
      <c r="A47" s="1"/>
      <c r="C47" s="57"/>
      <c r="D47" s="16"/>
      <c r="E47" s="74"/>
      <c r="F47" s="16"/>
    </row>
    <row r="48" spans="1:19" x14ac:dyDescent="0.35">
      <c r="A48" s="8" t="s">
        <v>139</v>
      </c>
      <c r="C48" s="57">
        <f>SUM(C23:C46)</f>
        <v>58250</v>
      </c>
      <c r="D48" s="16"/>
      <c r="E48" s="74">
        <f>SUM(E23:E45)</f>
        <v>41851.75</v>
      </c>
      <c r="F48" s="16"/>
      <c r="G48" s="51"/>
      <c r="R48" s="60"/>
      <c r="S48" s="60"/>
    </row>
    <row r="49" spans="1:19" x14ac:dyDescent="0.35">
      <c r="A49" s="9"/>
      <c r="C49" s="48"/>
      <c r="D49" s="16"/>
      <c r="E49" s="74"/>
      <c r="F49" s="16"/>
      <c r="G49" s="54"/>
    </row>
    <row r="50" spans="1:19" x14ac:dyDescent="0.35">
      <c r="A50" s="8" t="s">
        <v>140</v>
      </c>
      <c r="C50" s="48">
        <f>C20-C48</f>
        <v>-4876.6900000000023</v>
      </c>
      <c r="D50" s="16"/>
      <c r="E50" s="74">
        <f>E20-E48</f>
        <v>11544.529999999999</v>
      </c>
      <c r="F50" s="16" t="s">
        <v>147</v>
      </c>
      <c r="G50" s="46"/>
      <c r="R50" s="16"/>
      <c r="S50" s="16"/>
    </row>
    <row r="51" spans="1:19" ht="15.75" customHeight="1" x14ac:dyDescent="0.35">
      <c r="A51" s="1"/>
      <c r="C51" s="43"/>
      <c r="E51" s="75" t="s">
        <v>147</v>
      </c>
      <c r="F51" s="10" t="s">
        <v>147</v>
      </c>
    </row>
    <row r="52" spans="1:19" hidden="1" x14ac:dyDescent="0.35">
      <c r="A52" s="1" t="s">
        <v>270</v>
      </c>
      <c r="C52" s="47"/>
      <c r="F52" s="42"/>
    </row>
    <row r="53" spans="1:19" hidden="1" x14ac:dyDescent="0.35">
      <c r="A53" s="1"/>
      <c r="C53" s="47"/>
    </row>
    <row r="54" spans="1:19" hidden="1" x14ac:dyDescent="0.35">
      <c r="A54" s="1" t="s">
        <v>283</v>
      </c>
      <c r="C54" s="47"/>
    </row>
    <row r="55" spans="1:19" hidden="1" x14ac:dyDescent="0.35">
      <c r="A55" s="1" t="s">
        <v>284</v>
      </c>
      <c r="C55" s="47"/>
    </row>
    <row r="56" spans="1:19" hidden="1" x14ac:dyDescent="0.35">
      <c r="A56" s="1" t="s">
        <v>285</v>
      </c>
      <c r="C56" s="47"/>
    </row>
    <row r="57" spans="1:19" hidden="1" x14ac:dyDescent="0.35">
      <c r="A57" s="1" t="s">
        <v>286</v>
      </c>
      <c r="C57" s="47"/>
    </row>
    <row r="58" spans="1:19" hidden="1" x14ac:dyDescent="0.35">
      <c r="A58" s="1" t="s">
        <v>288</v>
      </c>
      <c r="C58" s="47"/>
    </row>
    <row r="59" spans="1:19" hidden="1" x14ac:dyDescent="0.35">
      <c r="A59" s="1" t="s">
        <v>300</v>
      </c>
      <c r="C59" s="47"/>
    </row>
    <row r="60" spans="1:19" hidden="1" x14ac:dyDescent="0.35">
      <c r="A60" s="1" t="s">
        <v>289</v>
      </c>
      <c r="C60" s="47"/>
    </row>
    <row r="61" spans="1:19" hidden="1" x14ac:dyDescent="0.35">
      <c r="A61" s="1" t="s">
        <v>290</v>
      </c>
      <c r="C61" s="47"/>
    </row>
    <row r="62" spans="1:19" hidden="1" x14ac:dyDescent="0.35">
      <c r="A62" s="1" t="s">
        <v>291</v>
      </c>
      <c r="C62" s="47"/>
    </row>
    <row r="63" spans="1:19" hidden="1" x14ac:dyDescent="0.35">
      <c r="A63" s="1" t="s">
        <v>292</v>
      </c>
      <c r="C63" s="47"/>
    </row>
    <row r="64" spans="1:19" hidden="1" x14ac:dyDescent="0.35">
      <c r="A64" s="1" t="s">
        <v>293</v>
      </c>
      <c r="C64" s="47"/>
    </row>
    <row r="65" spans="1:9" hidden="1" x14ac:dyDescent="0.35">
      <c r="A65" s="1" t="s">
        <v>294</v>
      </c>
      <c r="C65" s="47"/>
    </row>
    <row r="66" spans="1:9" hidden="1" x14ac:dyDescent="0.35">
      <c r="A66" s="1" t="s">
        <v>295</v>
      </c>
      <c r="C66" s="47"/>
    </row>
    <row r="67" spans="1:9" hidden="1" x14ac:dyDescent="0.35">
      <c r="A67" s="1" t="s">
        <v>296</v>
      </c>
      <c r="C67" s="47"/>
    </row>
    <row r="68" spans="1:9" hidden="1" x14ac:dyDescent="0.35">
      <c r="A68" s="1" t="s">
        <v>297</v>
      </c>
      <c r="C68" s="47"/>
    </row>
    <row r="69" spans="1:9" hidden="1" x14ac:dyDescent="0.35">
      <c r="A69" s="1" t="s">
        <v>298</v>
      </c>
      <c r="C69" s="47"/>
    </row>
    <row r="70" spans="1:9" hidden="1" x14ac:dyDescent="0.35">
      <c r="A70" s="1"/>
      <c r="C70" s="47"/>
    </row>
    <row r="71" spans="1:9" hidden="1" x14ac:dyDescent="0.35">
      <c r="A71" s="1"/>
      <c r="C71" s="47"/>
    </row>
    <row r="72" spans="1:9" x14ac:dyDescent="0.35">
      <c r="A72" s="1"/>
      <c r="C72" s="47"/>
    </row>
    <row r="73" spans="1:9" x14ac:dyDescent="0.35">
      <c r="A73" s="1" t="s">
        <v>325</v>
      </c>
      <c r="C73" s="47"/>
    </row>
    <row r="74" spans="1:9" x14ac:dyDescent="0.35">
      <c r="A74" s="1" t="s">
        <v>326</v>
      </c>
      <c r="C74" s="47"/>
    </row>
    <row r="75" spans="1:9" x14ac:dyDescent="0.35">
      <c r="A75" s="1" t="s">
        <v>331</v>
      </c>
      <c r="C75" s="47"/>
    </row>
    <row r="76" spans="1:9" x14ac:dyDescent="0.35">
      <c r="A76" s="1" t="s">
        <v>327</v>
      </c>
      <c r="C76" s="47"/>
    </row>
    <row r="77" spans="1:9" x14ac:dyDescent="0.35">
      <c r="A77" s="1" t="s">
        <v>328</v>
      </c>
      <c r="C77" s="47"/>
    </row>
    <row r="78" spans="1:9" x14ac:dyDescent="0.35">
      <c r="A78" s="1" t="s">
        <v>314</v>
      </c>
      <c r="C78" s="47"/>
    </row>
    <row r="79" spans="1:9" x14ac:dyDescent="0.35">
      <c r="A79" s="1" t="s">
        <v>335</v>
      </c>
      <c r="C79" s="47"/>
    </row>
    <row r="80" spans="1:9" x14ac:dyDescent="0.35">
      <c r="A80" s="1" t="s">
        <v>334</v>
      </c>
      <c r="C80" s="47"/>
      <c r="I80" t="s">
        <v>147</v>
      </c>
    </row>
    <row r="81" spans="1:3" x14ac:dyDescent="0.35">
      <c r="A81" s="1" t="s">
        <v>337</v>
      </c>
      <c r="C81" s="47"/>
    </row>
  </sheetData>
  <pageMargins left="0.7" right="0.7" top="0.75" bottom="0.75" header="0.3" footer="0.3"/>
  <pageSetup paperSize="5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572CF-A1FE-43A4-9498-C4E2A4E48BA3}">
  <dimension ref="A1:G50"/>
  <sheetViews>
    <sheetView topLeftCell="A13" workbookViewId="0">
      <selection activeCell="E44" sqref="E44"/>
    </sheetView>
  </sheetViews>
  <sheetFormatPr defaultRowHeight="14.5" x14ac:dyDescent="0.35"/>
  <cols>
    <col min="1" max="3" width="17.81640625" customWidth="1"/>
    <col min="5" max="5" width="11.90625" customWidth="1"/>
    <col min="7" max="7" width="0" hidden="1" customWidth="1"/>
  </cols>
  <sheetData>
    <row r="1" spans="1:7" x14ac:dyDescent="0.35">
      <c r="C1" s="77" t="s">
        <v>319</v>
      </c>
      <c r="E1" s="77" t="s">
        <v>338</v>
      </c>
      <c r="G1" s="77">
        <v>2017</v>
      </c>
    </row>
    <row r="2" spans="1:7" x14ac:dyDescent="0.35">
      <c r="C2" s="77" t="s">
        <v>186</v>
      </c>
      <c r="E2" s="78">
        <v>43442</v>
      </c>
      <c r="G2" s="77" t="s">
        <v>339</v>
      </c>
    </row>
    <row r="3" spans="1:7" x14ac:dyDescent="0.35">
      <c r="A3" t="s">
        <v>301</v>
      </c>
      <c r="C3" s="76"/>
    </row>
    <row r="4" spans="1:7" ht="15.5" x14ac:dyDescent="0.35">
      <c r="A4" t="s">
        <v>187</v>
      </c>
      <c r="C4" s="76">
        <v>25000</v>
      </c>
      <c r="E4" s="76">
        <v>32342</v>
      </c>
      <c r="G4" s="79">
        <f>26630.95</f>
        <v>26630.95</v>
      </c>
    </row>
    <row r="5" spans="1:7" ht="15.5" x14ac:dyDescent="0.35">
      <c r="A5" t="s">
        <v>188</v>
      </c>
      <c r="C5" s="76">
        <v>9648</v>
      </c>
      <c r="E5" s="76">
        <v>19121</v>
      </c>
      <c r="G5" s="79">
        <v>7464.49</v>
      </c>
    </row>
    <row r="6" spans="1:7" ht="15.5" x14ac:dyDescent="0.35">
      <c r="A6" t="s">
        <v>234</v>
      </c>
      <c r="C6" s="76">
        <v>3875.31</v>
      </c>
      <c r="E6" s="76"/>
      <c r="G6" s="79">
        <v>2137.84</v>
      </c>
    </row>
    <row r="7" spans="1:7" ht="15.5" x14ac:dyDescent="0.35">
      <c r="C7" s="76"/>
      <c r="E7" s="76"/>
      <c r="G7" s="68"/>
    </row>
    <row r="8" spans="1:7" ht="15.5" x14ac:dyDescent="0.35">
      <c r="A8" t="s">
        <v>302</v>
      </c>
      <c r="C8" s="76">
        <v>38523.31</v>
      </c>
      <c r="E8" s="76">
        <f>SUM(E4:E6)</f>
        <v>51463</v>
      </c>
      <c r="G8" s="80">
        <f>SUM(G4:G6)</f>
        <v>36233.279999999999</v>
      </c>
    </row>
    <row r="9" spans="1:7" ht="15.5" x14ac:dyDescent="0.35">
      <c r="C9" s="76"/>
      <c r="E9" s="76"/>
      <c r="G9" s="81"/>
    </row>
    <row r="10" spans="1:7" ht="15.5" x14ac:dyDescent="0.35">
      <c r="A10" t="s">
        <v>189</v>
      </c>
      <c r="C10" s="15">
        <v>1000</v>
      </c>
      <c r="E10" s="15">
        <v>1310</v>
      </c>
      <c r="G10" s="74">
        <v>1138</v>
      </c>
    </row>
    <row r="11" spans="1:7" ht="15.5" x14ac:dyDescent="0.35">
      <c r="C11" s="76"/>
      <c r="E11" s="76"/>
      <c r="G11" s="68"/>
    </row>
    <row r="12" spans="1:7" ht="15.5" x14ac:dyDescent="0.35">
      <c r="A12" t="s">
        <v>303</v>
      </c>
      <c r="C12" s="76"/>
      <c r="E12" s="76"/>
      <c r="G12" s="68"/>
    </row>
    <row r="13" spans="1:7" ht="15.5" x14ac:dyDescent="0.35">
      <c r="A13" t="s">
        <v>175</v>
      </c>
      <c r="C13" s="76">
        <v>7000</v>
      </c>
      <c r="E13" s="76">
        <v>6463</v>
      </c>
      <c r="G13" s="79">
        <v>7280</v>
      </c>
    </row>
    <row r="14" spans="1:7" ht="15.5" x14ac:dyDescent="0.35">
      <c r="A14" t="s">
        <v>125</v>
      </c>
      <c r="C14" s="76">
        <v>4000</v>
      </c>
      <c r="E14">
        <f>5000+978</f>
        <v>5978</v>
      </c>
      <c r="G14" s="79">
        <v>4705</v>
      </c>
    </row>
    <row r="15" spans="1:7" ht="15.5" x14ac:dyDescent="0.35">
      <c r="A15" t="s">
        <v>126</v>
      </c>
      <c r="C15" s="76"/>
      <c r="E15" s="76">
        <v>0</v>
      </c>
      <c r="G15" s="68">
        <v>459</v>
      </c>
    </row>
    <row r="16" spans="1:7" ht="15.5" x14ac:dyDescent="0.35">
      <c r="A16" t="s">
        <v>190</v>
      </c>
      <c r="C16" s="76"/>
      <c r="E16" s="76"/>
      <c r="G16" s="68"/>
    </row>
    <row r="17" spans="1:7" ht="15.5" x14ac:dyDescent="0.35">
      <c r="A17" t="s">
        <v>311</v>
      </c>
      <c r="C17" s="76">
        <v>1850</v>
      </c>
      <c r="E17" s="76">
        <v>1250</v>
      </c>
      <c r="G17" s="79">
        <f>2250</f>
        <v>2250</v>
      </c>
    </row>
    <row r="18" spans="1:7" ht="16" thickBot="1" x14ac:dyDescent="0.4">
      <c r="A18" t="s">
        <v>91</v>
      </c>
      <c r="C18" s="76">
        <v>2000</v>
      </c>
      <c r="E18" s="76">
        <v>1674</v>
      </c>
      <c r="G18" s="82">
        <v>2469</v>
      </c>
    </row>
    <row r="19" spans="1:7" x14ac:dyDescent="0.35">
      <c r="C19" s="76"/>
      <c r="E19" s="76"/>
      <c r="G19" s="10"/>
    </row>
    <row r="20" spans="1:7" x14ac:dyDescent="0.35">
      <c r="A20" t="s">
        <v>3</v>
      </c>
      <c r="C20" s="76">
        <v>53373.31</v>
      </c>
      <c r="E20" s="76">
        <f>SUM(E13:E18)+E8</f>
        <v>66828</v>
      </c>
      <c r="G20" s="10">
        <f>SUM(G13:G18)+G8</f>
        <v>53396.28</v>
      </c>
    </row>
    <row r="21" spans="1:7" x14ac:dyDescent="0.35">
      <c r="C21" s="76"/>
      <c r="E21" s="76"/>
      <c r="G21" s="10"/>
    </row>
    <row r="22" spans="1:7" x14ac:dyDescent="0.35">
      <c r="A22" t="s">
        <v>127</v>
      </c>
      <c r="C22" s="76"/>
      <c r="E22" s="76"/>
      <c r="G22" s="10"/>
    </row>
    <row r="23" spans="1:7" ht="15.5" x14ac:dyDescent="0.35">
      <c r="A23" t="s">
        <v>193</v>
      </c>
      <c r="C23" s="76">
        <v>2500</v>
      </c>
      <c r="E23" s="76">
        <v>2736</v>
      </c>
      <c r="G23" s="68">
        <v>-35</v>
      </c>
    </row>
    <row r="24" spans="1:7" ht="15.5" x14ac:dyDescent="0.35">
      <c r="A24" t="s">
        <v>287</v>
      </c>
      <c r="C24" s="76">
        <v>4000</v>
      </c>
      <c r="E24" s="76">
        <f>25+367.92-100</f>
        <v>292.92</v>
      </c>
      <c r="G24" s="68">
        <v>2832</v>
      </c>
    </row>
    <row r="25" spans="1:7" ht="15.5" x14ac:dyDescent="0.35">
      <c r="A25" t="s">
        <v>130</v>
      </c>
      <c r="C25" s="76"/>
      <c r="E25" s="76"/>
      <c r="G25" s="68"/>
    </row>
    <row r="26" spans="1:7" ht="15.5" x14ac:dyDescent="0.35">
      <c r="A26" t="s">
        <v>306</v>
      </c>
      <c r="C26" s="76">
        <v>500</v>
      </c>
      <c r="E26" s="76">
        <v>509.69</v>
      </c>
      <c r="G26" s="68">
        <v>517</v>
      </c>
    </row>
    <row r="27" spans="1:7" ht="15.5" x14ac:dyDescent="0.35">
      <c r="A27" t="s">
        <v>194</v>
      </c>
      <c r="C27" s="76">
        <v>3000</v>
      </c>
      <c r="E27" s="76">
        <v>5025.57</v>
      </c>
      <c r="G27" s="68">
        <v>2941</v>
      </c>
    </row>
    <row r="28" spans="1:7" ht="15.5" x14ac:dyDescent="0.35">
      <c r="A28" t="s">
        <v>269</v>
      </c>
      <c r="C28" s="76">
        <v>500</v>
      </c>
      <c r="E28" s="76">
        <v>-717.34</v>
      </c>
      <c r="G28" s="68">
        <f>-670+360</f>
        <v>-310</v>
      </c>
    </row>
    <row r="29" spans="1:7" ht="15.5" x14ac:dyDescent="0.35">
      <c r="A29" t="s">
        <v>173</v>
      </c>
      <c r="C29" s="76">
        <v>400</v>
      </c>
      <c r="E29" s="76">
        <v>946</v>
      </c>
      <c r="G29" s="68">
        <v>27</v>
      </c>
    </row>
    <row r="30" spans="1:7" ht="15.5" x14ac:dyDescent="0.35">
      <c r="A30" t="s">
        <v>330</v>
      </c>
      <c r="C30" s="76">
        <v>1500</v>
      </c>
      <c r="E30" s="76">
        <v>5800</v>
      </c>
      <c r="G30" s="68"/>
    </row>
    <row r="31" spans="1:7" ht="15.5" x14ac:dyDescent="0.35">
      <c r="A31" t="s">
        <v>329</v>
      </c>
      <c r="C31" s="76">
        <v>1500</v>
      </c>
      <c r="G31" s="68">
        <v>1064</v>
      </c>
    </row>
    <row r="32" spans="1:7" ht="15.5" x14ac:dyDescent="0.35">
      <c r="A32" t="s">
        <v>308</v>
      </c>
      <c r="C32" s="76">
        <v>4000</v>
      </c>
      <c r="E32" s="76">
        <v>1720</v>
      </c>
      <c r="G32" s="68">
        <v>1000</v>
      </c>
    </row>
    <row r="33" spans="1:7" ht="15.5" x14ac:dyDescent="0.35">
      <c r="A33" t="s">
        <v>197</v>
      </c>
      <c r="C33" s="76">
        <v>1800</v>
      </c>
      <c r="E33" s="76">
        <v>962.5</v>
      </c>
      <c r="G33" s="68">
        <v>1425</v>
      </c>
    </row>
    <row r="34" spans="1:7" ht="15.5" x14ac:dyDescent="0.35">
      <c r="A34" t="s">
        <v>132</v>
      </c>
      <c r="C34" s="76">
        <v>8300</v>
      </c>
      <c r="E34" s="76">
        <v>7430</v>
      </c>
      <c r="G34" s="68">
        <v>8312.75</v>
      </c>
    </row>
    <row r="35" spans="1:7" ht="15.5" x14ac:dyDescent="0.35">
      <c r="A35" t="s">
        <v>332</v>
      </c>
      <c r="C35" s="76">
        <v>3500</v>
      </c>
      <c r="E35" s="76">
        <v>2796</v>
      </c>
      <c r="G35" s="68">
        <v>2793</v>
      </c>
    </row>
    <row r="36" spans="1:7" ht="15.5" x14ac:dyDescent="0.35">
      <c r="A36" t="s">
        <v>28</v>
      </c>
      <c r="C36" s="76">
        <v>300</v>
      </c>
      <c r="E36" s="76">
        <f>339+123</f>
        <v>462</v>
      </c>
      <c r="G36" s="68"/>
    </row>
    <row r="37" spans="1:7" ht="15.5" x14ac:dyDescent="0.35">
      <c r="A37" t="s">
        <v>73</v>
      </c>
      <c r="C37" s="76">
        <v>1300</v>
      </c>
      <c r="E37" s="76">
        <v>1234</v>
      </c>
      <c r="G37" s="68">
        <v>1062</v>
      </c>
    </row>
    <row r="38" spans="1:7" ht="15.5" x14ac:dyDescent="0.35">
      <c r="A38" t="s">
        <v>133</v>
      </c>
      <c r="C38" s="76">
        <v>0</v>
      </c>
      <c r="E38" s="76"/>
      <c r="G38" s="68"/>
    </row>
    <row r="39" spans="1:7" ht="15.5" x14ac:dyDescent="0.35">
      <c r="A39" t="s">
        <v>152</v>
      </c>
      <c r="C39" s="76">
        <v>200</v>
      </c>
      <c r="E39" s="76">
        <v>60</v>
      </c>
      <c r="G39" s="68">
        <v>130</v>
      </c>
    </row>
    <row r="40" spans="1:7" ht="15.5" x14ac:dyDescent="0.35">
      <c r="A40" t="s">
        <v>333</v>
      </c>
      <c r="C40" s="76">
        <v>450</v>
      </c>
      <c r="E40" s="76">
        <v>616.70000000000005</v>
      </c>
      <c r="G40" s="68">
        <f>240-100</f>
        <v>140</v>
      </c>
    </row>
    <row r="41" spans="1:7" ht="15.5" x14ac:dyDescent="0.35">
      <c r="A41" t="s">
        <v>195</v>
      </c>
      <c r="C41" s="76">
        <v>200</v>
      </c>
      <c r="E41" s="76">
        <f>35+309-9+263</f>
        <v>598</v>
      </c>
      <c r="G41" s="68" t="s">
        <v>147</v>
      </c>
    </row>
    <row r="42" spans="1:7" ht="15.5" x14ac:dyDescent="0.35">
      <c r="A42" t="s">
        <v>141</v>
      </c>
      <c r="C42" s="76">
        <v>250</v>
      </c>
      <c r="E42" s="76"/>
      <c r="G42" s="68">
        <v>3</v>
      </c>
    </row>
    <row r="43" spans="1:7" ht="15.5" x14ac:dyDescent="0.35">
      <c r="A43" t="s">
        <v>135</v>
      </c>
      <c r="C43" s="76"/>
      <c r="E43" s="76"/>
      <c r="G43" s="68"/>
    </row>
    <row r="44" spans="1:7" ht="15.5" x14ac:dyDescent="0.35">
      <c r="A44" t="s">
        <v>199</v>
      </c>
      <c r="C44" s="76">
        <v>2000</v>
      </c>
      <c r="E44" s="76">
        <v>276.74</v>
      </c>
      <c r="G44" s="68">
        <v>900</v>
      </c>
    </row>
    <row r="45" spans="1:7" ht="15.5" x14ac:dyDescent="0.35">
      <c r="A45" t="s">
        <v>136</v>
      </c>
      <c r="C45" s="76">
        <v>19050</v>
      </c>
      <c r="E45" s="76">
        <v>19050</v>
      </c>
      <c r="G45" s="68">
        <v>19050</v>
      </c>
    </row>
    <row r="46" spans="1:7" ht="15.5" x14ac:dyDescent="0.35">
      <c r="A46" t="s">
        <v>336</v>
      </c>
      <c r="C46" s="76">
        <v>3000</v>
      </c>
      <c r="E46" s="76"/>
      <c r="G46" s="68"/>
    </row>
    <row r="47" spans="1:7" x14ac:dyDescent="0.35">
      <c r="C47" s="76"/>
      <c r="E47" s="76"/>
    </row>
    <row r="48" spans="1:7" x14ac:dyDescent="0.35">
      <c r="A48" t="s">
        <v>139</v>
      </c>
      <c r="C48" s="76">
        <v>58250</v>
      </c>
      <c r="E48" s="76">
        <f>SUM(E23:E46)</f>
        <v>49798.78</v>
      </c>
      <c r="G48" s="76">
        <f>SUM(G23:G46)</f>
        <v>41851.75</v>
      </c>
    </row>
    <row r="49" spans="1:7" x14ac:dyDescent="0.35">
      <c r="C49" s="76"/>
      <c r="E49" s="76"/>
      <c r="G49" s="76"/>
    </row>
    <row r="50" spans="1:7" x14ac:dyDescent="0.35">
      <c r="A50" t="s">
        <v>140</v>
      </c>
      <c r="C50" s="76">
        <v>-4876.6900000000023</v>
      </c>
      <c r="E50" s="76">
        <f>E20-E48</f>
        <v>17029.22</v>
      </c>
      <c r="G50" s="76">
        <f>G20-G48</f>
        <v>11544.529999999999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A8E70-32D6-4A6D-83C6-B3A09F7CB296}">
  <dimension ref="A1:N66"/>
  <sheetViews>
    <sheetView workbookViewId="0">
      <selection activeCell="E1" sqref="E1"/>
    </sheetView>
  </sheetViews>
  <sheetFormatPr defaultRowHeight="14.5" x14ac:dyDescent="0.35"/>
  <cols>
    <col min="1" max="1" width="17.81640625" customWidth="1"/>
    <col min="2" max="2" width="26.6328125" customWidth="1"/>
    <col min="3" max="3" width="17.81640625" customWidth="1"/>
    <col min="5" max="5" width="11.90625" customWidth="1"/>
    <col min="7" max="7" width="0" hidden="1" customWidth="1"/>
    <col min="8" max="8" width="8.81640625" style="16"/>
  </cols>
  <sheetData>
    <row r="1" spans="1:14" x14ac:dyDescent="0.35">
      <c r="C1" s="77" t="s">
        <v>343</v>
      </c>
      <c r="E1" s="77" t="s">
        <v>338</v>
      </c>
      <c r="G1" s="77">
        <v>2017</v>
      </c>
      <c r="H1" s="84" t="s">
        <v>369</v>
      </c>
      <c r="K1" t="s">
        <v>344</v>
      </c>
    </row>
    <row r="2" spans="1:14" x14ac:dyDescent="0.35">
      <c r="C2" s="77" t="s">
        <v>186</v>
      </c>
      <c r="E2" s="78">
        <v>43442</v>
      </c>
      <c r="G2" s="77" t="s">
        <v>339</v>
      </c>
    </row>
    <row r="3" spans="1:14" x14ac:dyDescent="0.35">
      <c r="A3" t="s">
        <v>301</v>
      </c>
      <c r="C3" s="76"/>
      <c r="K3" s="15">
        <v>2000</v>
      </c>
      <c r="L3" s="83">
        <v>8</v>
      </c>
      <c r="M3" s="76">
        <f>K3*L3</f>
        <v>16000</v>
      </c>
      <c r="N3" t="s">
        <v>345</v>
      </c>
    </row>
    <row r="4" spans="1:14" ht="15.5" x14ac:dyDescent="0.35">
      <c r="A4" t="s">
        <v>187</v>
      </c>
      <c r="C4" s="76">
        <f>M4</f>
        <v>30000</v>
      </c>
      <c r="E4" s="76">
        <v>32342</v>
      </c>
      <c r="G4" s="79">
        <f>26630.95</f>
        <v>26630.95</v>
      </c>
      <c r="H4" s="16">
        <f>C4-E4</f>
        <v>-2342</v>
      </c>
      <c r="K4" s="15">
        <v>1200</v>
      </c>
      <c r="L4" s="83">
        <v>25</v>
      </c>
      <c r="M4" s="76">
        <f>K4*L4</f>
        <v>30000</v>
      </c>
      <c r="N4" t="s">
        <v>346</v>
      </c>
    </row>
    <row r="5" spans="1:14" ht="15.5" x14ac:dyDescent="0.35">
      <c r="A5" t="s">
        <v>188</v>
      </c>
      <c r="C5" s="76">
        <f>M3</f>
        <v>16000</v>
      </c>
      <c r="E5" s="76">
        <v>19121</v>
      </c>
      <c r="G5" s="79">
        <v>7464.49</v>
      </c>
      <c r="H5" s="16">
        <f t="shared" ref="H5:H6" si="0">C5-E5</f>
        <v>-3121</v>
      </c>
      <c r="K5" s="15">
        <v>13500</v>
      </c>
      <c r="L5" s="83">
        <v>0.18</v>
      </c>
      <c r="M5" s="76">
        <f>K5*L5</f>
        <v>2430</v>
      </c>
      <c r="N5" t="s">
        <v>345</v>
      </c>
    </row>
    <row r="6" spans="1:14" ht="15.5" x14ac:dyDescent="0.35">
      <c r="A6" t="s">
        <v>234</v>
      </c>
      <c r="C6" s="76">
        <v>3875.31</v>
      </c>
      <c r="E6" s="76">
        <f>M5</f>
        <v>2430</v>
      </c>
      <c r="G6" s="79">
        <v>2137.84</v>
      </c>
      <c r="H6" s="16">
        <f t="shared" si="0"/>
        <v>1445.31</v>
      </c>
    </row>
    <row r="7" spans="1:14" ht="15.5" x14ac:dyDescent="0.35">
      <c r="C7" s="76"/>
      <c r="E7" s="76"/>
      <c r="G7" s="68"/>
    </row>
    <row r="8" spans="1:14" ht="15.5" x14ac:dyDescent="0.35">
      <c r="A8" t="s">
        <v>302</v>
      </c>
      <c r="C8" s="76">
        <f>SUM(C4:C6)</f>
        <v>49875.31</v>
      </c>
      <c r="E8" s="76">
        <f>SUM(E4:E6)</f>
        <v>53893</v>
      </c>
      <c r="G8" s="80">
        <f>SUM(G4:G6)</f>
        <v>36233.279999999999</v>
      </c>
      <c r="H8" s="16">
        <f>C8-E8</f>
        <v>-4017.6900000000023</v>
      </c>
    </row>
    <row r="9" spans="1:14" ht="15.5" x14ac:dyDescent="0.35">
      <c r="C9" s="76"/>
      <c r="E9" s="76"/>
      <c r="G9" s="81"/>
    </row>
    <row r="10" spans="1:14" ht="15.5" x14ac:dyDescent="0.35">
      <c r="A10" t="s">
        <v>189</v>
      </c>
      <c r="C10" s="15">
        <v>1200</v>
      </c>
      <c r="E10" s="15">
        <v>1310</v>
      </c>
      <c r="G10" s="74">
        <v>1138</v>
      </c>
      <c r="H10" s="16">
        <f>C10-E10</f>
        <v>-110</v>
      </c>
    </row>
    <row r="11" spans="1:14" ht="15.5" x14ac:dyDescent="0.35">
      <c r="C11" s="76"/>
      <c r="E11" s="76"/>
      <c r="G11" s="68"/>
    </row>
    <row r="12" spans="1:14" ht="15.5" x14ac:dyDescent="0.35">
      <c r="A12" t="s">
        <v>303</v>
      </c>
      <c r="C12" s="76"/>
      <c r="E12" s="76"/>
      <c r="G12" s="68"/>
    </row>
    <row r="13" spans="1:14" ht="15.5" x14ac:dyDescent="0.35">
      <c r="A13" t="s">
        <v>175</v>
      </c>
      <c r="C13" s="76">
        <v>6000</v>
      </c>
      <c r="E13" s="76">
        <v>6463</v>
      </c>
      <c r="G13" s="79">
        <v>7280</v>
      </c>
      <c r="H13" s="16">
        <f t="shared" ref="H13:H18" si="1">C13-E13</f>
        <v>-463</v>
      </c>
    </row>
    <row r="14" spans="1:14" ht="15.5" x14ac:dyDescent="0.35">
      <c r="A14" t="s">
        <v>125</v>
      </c>
      <c r="C14" s="76">
        <v>4000</v>
      </c>
      <c r="E14">
        <f>5000+978</f>
        <v>5978</v>
      </c>
      <c r="G14" s="79">
        <v>4705</v>
      </c>
      <c r="H14" s="16">
        <f t="shared" si="1"/>
        <v>-1978</v>
      </c>
    </row>
    <row r="15" spans="1:14" ht="15.5" x14ac:dyDescent="0.35">
      <c r="A15" t="s">
        <v>126</v>
      </c>
      <c r="C15" s="76"/>
      <c r="E15" s="76">
        <v>0</v>
      </c>
      <c r="G15" s="68">
        <v>459</v>
      </c>
      <c r="H15" s="16">
        <f t="shared" si="1"/>
        <v>0</v>
      </c>
    </row>
    <row r="16" spans="1:14" ht="15.5" x14ac:dyDescent="0.35">
      <c r="A16" t="s">
        <v>190</v>
      </c>
      <c r="C16" s="76"/>
      <c r="E16" s="76"/>
      <c r="G16" s="68"/>
      <c r="H16" s="16">
        <f t="shared" si="1"/>
        <v>0</v>
      </c>
    </row>
    <row r="17" spans="1:9" ht="15.5" x14ac:dyDescent="0.35">
      <c r="A17" t="s">
        <v>311</v>
      </c>
      <c r="C17" s="76">
        <v>2150</v>
      </c>
      <c r="E17" s="76">
        <v>1250</v>
      </c>
      <c r="G17" s="79">
        <f>2250</f>
        <v>2250</v>
      </c>
      <c r="H17" s="16">
        <f t="shared" si="1"/>
        <v>900</v>
      </c>
    </row>
    <row r="18" spans="1:9" ht="16" thickBot="1" x14ac:dyDescent="0.4">
      <c r="A18" t="s">
        <v>349</v>
      </c>
      <c r="C18" s="76">
        <v>1400</v>
      </c>
      <c r="E18" s="76">
        <v>1674</v>
      </c>
      <c r="G18" s="82">
        <v>2469</v>
      </c>
      <c r="H18" s="16">
        <f t="shared" si="1"/>
        <v>-274</v>
      </c>
    </row>
    <row r="19" spans="1:9" x14ac:dyDescent="0.35">
      <c r="C19" s="76"/>
      <c r="E19" s="76"/>
      <c r="G19" s="10"/>
    </row>
    <row r="20" spans="1:9" x14ac:dyDescent="0.35">
      <c r="A20" s="19" t="s">
        <v>3</v>
      </c>
      <c r="B20" s="19"/>
      <c r="C20" s="85">
        <f>C8+SUM(C13:C18)</f>
        <v>63425.31</v>
      </c>
      <c r="D20" s="19"/>
      <c r="E20" s="85">
        <f>SUM(E13:E18)+E8</f>
        <v>69258</v>
      </c>
      <c r="F20" s="19"/>
      <c r="G20" s="59">
        <f>SUM(G13:G18)+G8</f>
        <v>53396.28</v>
      </c>
      <c r="H20" s="86">
        <f>C20-E20</f>
        <v>-5832.6900000000023</v>
      </c>
    </row>
    <row r="21" spans="1:9" x14ac:dyDescent="0.35">
      <c r="C21" s="76"/>
      <c r="E21" s="76"/>
      <c r="G21" s="10"/>
    </row>
    <row r="22" spans="1:9" x14ac:dyDescent="0.35">
      <c r="A22" t="s">
        <v>127</v>
      </c>
      <c r="C22" s="76"/>
      <c r="E22" s="76"/>
      <c r="G22" s="10"/>
    </row>
    <row r="23" spans="1:9" ht="15.5" x14ac:dyDescent="0.35">
      <c r="A23" t="s">
        <v>193</v>
      </c>
      <c r="C23" s="76">
        <v>3000</v>
      </c>
      <c r="E23" s="76">
        <v>2736</v>
      </c>
      <c r="G23" s="68">
        <v>-35</v>
      </c>
      <c r="H23" s="16">
        <f t="shared" ref="H23:H46" si="2">C23-E23</f>
        <v>264</v>
      </c>
    </row>
    <row r="24" spans="1:9" ht="15.5" x14ac:dyDescent="0.35">
      <c r="A24" t="s">
        <v>287</v>
      </c>
      <c r="C24" s="76">
        <v>4000</v>
      </c>
      <c r="E24" s="76">
        <f>25+367.92-100</f>
        <v>292.92</v>
      </c>
      <c r="G24" s="68">
        <v>2832</v>
      </c>
      <c r="H24" s="16">
        <f t="shared" si="2"/>
        <v>3707.08</v>
      </c>
    </row>
    <row r="25" spans="1:9" ht="15.5" x14ac:dyDescent="0.35">
      <c r="A25" t="s">
        <v>130</v>
      </c>
      <c r="C25" s="76"/>
      <c r="E25" s="76"/>
      <c r="G25" s="68"/>
      <c r="H25" s="16">
        <f t="shared" si="2"/>
        <v>0</v>
      </c>
    </row>
    <row r="26" spans="1:9" ht="15.5" x14ac:dyDescent="0.35">
      <c r="A26" t="s">
        <v>306</v>
      </c>
      <c r="C26" s="76">
        <v>550</v>
      </c>
      <c r="E26" s="76">
        <v>509.69</v>
      </c>
      <c r="G26" s="68">
        <v>517</v>
      </c>
      <c r="H26" s="16">
        <f t="shared" si="2"/>
        <v>40.31</v>
      </c>
    </row>
    <row r="27" spans="1:9" ht="15.5" x14ac:dyDescent="0.35">
      <c r="A27" t="s">
        <v>194</v>
      </c>
      <c r="C27" s="76">
        <v>4500</v>
      </c>
      <c r="E27" s="76">
        <v>5025.57</v>
      </c>
      <c r="G27" s="68">
        <v>2941</v>
      </c>
      <c r="H27" s="16">
        <f t="shared" si="2"/>
        <v>-525.56999999999971</v>
      </c>
      <c r="I27" t="s">
        <v>147</v>
      </c>
    </row>
    <row r="28" spans="1:9" ht="15.5" x14ac:dyDescent="0.35">
      <c r="A28" t="s">
        <v>269</v>
      </c>
      <c r="C28" s="76">
        <v>0</v>
      </c>
      <c r="E28" s="76">
        <v>-717.34</v>
      </c>
      <c r="G28" s="68">
        <f>-670+360</f>
        <v>-310</v>
      </c>
      <c r="H28" s="16">
        <f t="shared" si="2"/>
        <v>717.34</v>
      </c>
    </row>
    <row r="29" spans="1:9" ht="15.5" x14ac:dyDescent="0.35">
      <c r="A29" t="s">
        <v>353</v>
      </c>
      <c r="C29" s="76">
        <v>800</v>
      </c>
      <c r="E29" s="76">
        <v>946</v>
      </c>
      <c r="G29" s="68">
        <v>27</v>
      </c>
      <c r="H29" s="16">
        <f t="shared" si="2"/>
        <v>-146</v>
      </c>
    </row>
    <row r="30" spans="1:9" ht="15.5" x14ac:dyDescent="0.35">
      <c r="A30" t="s">
        <v>355</v>
      </c>
      <c r="C30" s="76">
        <v>6000</v>
      </c>
      <c r="E30" s="76">
        <v>5800</v>
      </c>
      <c r="G30" s="68"/>
      <c r="H30" s="16">
        <f t="shared" si="2"/>
        <v>200</v>
      </c>
    </row>
    <row r="31" spans="1:9" ht="15.5" x14ac:dyDescent="0.35">
      <c r="A31" t="s">
        <v>358</v>
      </c>
      <c r="C31" s="76">
        <v>1500</v>
      </c>
      <c r="E31" s="76">
        <v>0</v>
      </c>
      <c r="G31" s="68">
        <v>1064</v>
      </c>
      <c r="H31" s="16">
        <f t="shared" si="2"/>
        <v>1500</v>
      </c>
    </row>
    <row r="32" spans="1:9" ht="15.5" x14ac:dyDescent="0.35">
      <c r="A32" t="s">
        <v>359</v>
      </c>
      <c r="C32" s="76">
        <v>2000</v>
      </c>
      <c r="E32" s="76">
        <v>1720</v>
      </c>
      <c r="G32" s="68">
        <v>1000</v>
      </c>
      <c r="H32" s="16">
        <f t="shared" si="2"/>
        <v>280</v>
      </c>
    </row>
    <row r="33" spans="1:8" ht="15.5" x14ac:dyDescent="0.35">
      <c r="A33" t="s">
        <v>360</v>
      </c>
      <c r="C33" s="76">
        <v>1000</v>
      </c>
      <c r="E33" s="76">
        <v>962.5</v>
      </c>
      <c r="G33" s="68">
        <v>1425</v>
      </c>
      <c r="H33" s="16">
        <f t="shared" si="2"/>
        <v>37.5</v>
      </c>
    </row>
    <row r="34" spans="1:8" ht="15.5" x14ac:dyDescent="0.35">
      <c r="A34" t="s">
        <v>365</v>
      </c>
      <c r="C34" s="76">
        <v>7800</v>
      </c>
      <c r="E34" s="76">
        <v>7430</v>
      </c>
      <c r="G34" s="68">
        <v>8312.75</v>
      </c>
      <c r="H34" s="16">
        <f t="shared" si="2"/>
        <v>370</v>
      </c>
    </row>
    <row r="35" spans="1:8" ht="15.5" x14ac:dyDescent="0.35">
      <c r="A35" t="s">
        <v>25</v>
      </c>
      <c r="C35" s="76">
        <v>3500</v>
      </c>
      <c r="E35" s="76">
        <v>2796</v>
      </c>
      <c r="G35" s="68">
        <v>2793</v>
      </c>
      <c r="H35" s="16">
        <f t="shared" si="2"/>
        <v>704</v>
      </c>
    </row>
    <row r="36" spans="1:8" ht="15.5" x14ac:dyDescent="0.35">
      <c r="A36" t="s">
        <v>28</v>
      </c>
      <c r="C36" s="76">
        <v>500</v>
      </c>
      <c r="E36" s="76">
        <f>339+123</f>
        <v>462</v>
      </c>
      <c r="G36" s="68"/>
      <c r="H36" s="16">
        <f t="shared" si="2"/>
        <v>38</v>
      </c>
    </row>
    <row r="37" spans="1:8" ht="15.5" x14ac:dyDescent="0.35">
      <c r="A37" t="s">
        <v>73</v>
      </c>
      <c r="C37" s="76">
        <v>1500</v>
      </c>
      <c r="E37" s="76">
        <v>1234</v>
      </c>
      <c r="G37" s="68">
        <v>1062</v>
      </c>
      <c r="H37" s="16">
        <f t="shared" si="2"/>
        <v>266</v>
      </c>
    </row>
    <row r="38" spans="1:8" ht="15.5" x14ac:dyDescent="0.35">
      <c r="A38" t="s">
        <v>133</v>
      </c>
      <c r="C38" s="76">
        <v>0</v>
      </c>
      <c r="E38" s="76"/>
      <c r="G38" s="68"/>
      <c r="H38" s="16">
        <f t="shared" si="2"/>
        <v>0</v>
      </c>
    </row>
    <row r="39" spans="1:8" ht="15.5" x14ac:dyDescent="0.35">
      <c r="A39" t="s">
        <v>152</v>
      </c>
      <c r="C39" s="76">
        <v>200</v>
      </c>
      <c r="E39" s="76">
        <v>60</v>
      </c>
      <c r="G39" s="68">
        <v>130</v>
      </c>
      <c r="H39" s="16">
        <f t="shared" si="2"/>
        <v>140</v>
      </c>
    </row>
    <row r="40" spans="1:8" ht="15.5" x14ac:dyDescent="0.35">
      <c r="A40" t="s">
        <v>361</v>
      </c>
      <c r="C40" s="76">
        <v>600</v>
      </c>
      <c r="E40" s="76">
        <v>616.70000000000005</v>
      </c>
      <c r="G40" s="68">
        <f>240-100</f>
        <v>140</v>
      </c>
      <c r="H40" s="16">
        <f t="shared" si="2"/>
        <v>-16.700000000000045</v>
      </c>
    </row>
    <row r="41" spans="1:8" ht="15.5" x14ac:dyDescent="0.35">
      <c r="A41" t="s">
        <v>195</v>
      </c>
      <c r="C41" s="76">
        <v>700</v>
      </c>
      <c r="E41" s="76">
        <f>35+309-9+263</f>
        <v>598</v>
      </c>
      <c r="G41" s="68" t="s">
        <v>147</v>
      </c>
      <c r="H41" s="16">
        <f t="shared" si="2"/>
        <v>102</v>
      </c>
    </row>
    <row r="42" spans="1:8" ht="15.5" x14ac:dyDescent="0.35">
      <c r="A42" t="s">
        <v>141</v>
      </c>
      <c r="C42" s="76">
        <v>0</v>
      </c>
      <c r="E42" s="76"/>
      <c r="G42" s="68">
        <v>3</v>
      </c>
      <c r="H42" s="16">
        <f t="shared" si="2"/>
        <v>0</v>
      </c>
    </row>
    <row r="43" spans="1:8" ht="15.5" x14ac:dyDescent="0.35">
      <c r="A43" t="s">
        <v>135</v>
      </c>
      <c r="C43" s="76"/>
      <c r="E43" s="76"/>
      <c r="G43" s="68"/>
      <c r="H43" s="16">
        <f t="shared" si="2"/>
        <v>0</v>
      </c>
    </row>
    <row r="44" spans="1:8" ht="15.5" x14ac:dyDescent="0.35">
      <c r="A44" t="s">
        <v>199</v>
      </c>
      <c r="C44" s="76">
        <v>500</v>
      </c>
      <c r="E44" s="76">
        <v>276.74</v>
      </c>
      <c r="G44" s="68">
        <v>900</v>
      </c>
      <c r="H44" s="16">
        <f t="shared" si="2"/>
        <v>223.26</v>
      </c>
    </row>
    <row r="45" spans="1:8" ht="15.5" x14ac:dyDescent="0.35">
      <c r="A45" t="s">
        <v>136</v>
      </c>
      <c r="C45" s="76">
        <v>19050</v>
      </c>
      <c r="E45" s="76">
        <v>19050</v>
      </c>
      <c r="G45" s="68">
        <v>19050</v>
      </c>
      <c r="H45" s="16">
        <f t="shared" si="2"/>
        <v>0</v>
      </c>
    </row>
    <row r="46" spans="1:8" ht="15.5" x14ac:dyDescent="0.35">
      <c r="A46" t="s">
        <v>362</v>
      </c>
      <c r="C46" s="76">
        <v>0</v>
      </c>
      <c r="E46" s="76"/>
      <c r="G46" s="68"/>
      <c r="H46" s="16">
        <f t="shared" si="2"/>
        <v>0</v>
      </c>
    </row>
    <row r="47" spans="1:8" x14ac:dyDescent="0.35">
      <c r="C47" s="76"/>
      <c r="E47" s="76"/>
    </row>
    <row r="48" spans="1:8" x14ac:dyDescent="0.35">
      <c r="A48" s="19" t="s">
        <v>139</v>
      </c>
      <c r="B48" s="19"/>
      <c r="C48" s="85">
        <f>SUM(C23:C46)</f>
        <v>57700</v>
      </c>
      <c r="D48" s="19"/>
      <c r="E48" s="85">
        <f>SUM(E23:E46)</f>
        <v>49798.78</v>
      </c>
      <c r="F48" s="19"/>
      <c r="G48" s="85">
        <f>SUM(G23:G46)</f>
        <v>41851.75</v>
      </c>
      <c r="H48" s="86">
        <f>C48-E48</f>
        <v>7901.2200000000012</v>
      </c>
    </row>
    <row r="49" spans="1:8" x14ac:dyDescent="0.35">
      <c r="C49" s="76"/>
      <c r="E49" s="76"/>
      <c r="G49" s="76"/>
    </row>
    <row r="50" spans="1:8" x14ac:dyDescent="0.35">
      <c r="A50" s="19" t="s">
        <v>140</v>
      </c>
      <c r="B50" s="19"/>
      <c r="C50" s="85">
        <f>C20-C48</f>
        <v>5725.3099999999977</v>
      </c>
      <c r="D50" s="19"/>
      <c r="E50" s="85">
        <f>E20-E48</f>
        <v>19459.22</v>
      </c>
      <c r="F50" s="19"/>
      <c r="G50" s="85">
        <f>G20-G48</f>
        <v>11544.529999999999</v>
      </c>
      <c r="H50" s="86">
        <f>C50-E50</f>
        <v>-13733.910000000003</v>
      </c>
    </row>
    <row r="53" spans="1:8" x14ac:dyDescent="0.35">
      <c r="A53" s="1" t="s">
        <v>347</v>
      </c>
    </row>
    <row r="54" spans="1:8" x14ac:dyDescent="0.35">
      <c r="A54" s="1" t="s">
        <v>326</v>
      </c>
    </row>
    <row r="55" spans="1:8" x14ac:dyDescent="0.35">
      <c r="A55" s="1" t="s">
        <v>348</v>
      </c>
    </row>
    <row r="56" spans="1:8" x14ac:dyDescent="0.35">
      <c r="A56" s="1" t="s">
        <v>350</v>
      </c>
    </row>
    <row r="57" spans="1:8" x14ac:dyDescent="0.35">
      <c r="A57" s="1" t="s">
        <v>351</v>
      </c>
    </row>
    <row r="58" spans="1:8" x14ac:dyDescent="0.35">
      <c r="A58" s="1" t="s">
        <v>352</v>
      </c>
    </row>
    <row r="59" spans="1:8" x14ac:dyDescent="0.35">
      <c r="A59" s="1" t="s">
        <v>354</v>
      </c>
    </row>
    <row r="60" spans="1:8" x14ac:dyDescent="0.35">
      <c r="A60" s="1" t="s">
        <v>356</v>
      </c>
    </row>
    <row r="61" spans="1:8" x14ac:dyDescent="0.35">
      <c r="A61" s="1" t="s">
        <v>357</v>
      </c>
    </row>
    <row r="62" spans="1:8" x14ac:dyDescent="0.35">
      <c r="A62" s="1" t="s">
        <v>363</v>
      </c>
    </row>
    <row r="63" spans="1:8" x14ac:dyDescent="0.35">
      <c r="A63" s="1" t="s">
        <v>364</v>
      </c>
    </row>
    <row r="64" spans="1:8" x14ac:dyDescent="0.35">
      <c r="A64" s="1" t="s">
        <v>366</v>
      </c>
    </row>
    <row r="65" spans="1:1" x14ac:dyDescent="0.35">
      <c r="A65" s="1" t="s">
        <v>367</v>
      </c>
    </row>
    <row r="66" spans="1:1" x14ac:dyDescent="0.35">
      <c r="A66" s="1" t="s">
        <v>368</v>
      </c>
    </row>
  </sheetData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1B2BB-E01B-497D-BBE9-483FA0CAF23A}">
  <dimension ref="A1:P66"/>
  <sheetViews>
    <sheetView tabSelected="1" topLeftCell="A29" workbookViewId="0">
      <selection activeCell="J48" sqref="J48"/>
    </sheetView>
  </sheetViews>
  <sheetFormatPr defaultRowHeight="14.5" x14ac:dyDescent="0.35"/>
  <cols>
    <col min="1" max="1" width="17.81640625" customWidth="1"/>
    <col min="2" max="2" width="26.6328125" customWidth="1"/>
    <col min="3" max="3" width="17.81640625" customWidth="1"/>
    <col min="5" max="5" width="11.90625" style="62" customWidth="1"/>
    <col min="7" max="7" width="0" hidden="1" customWidth="1"/>
    <col min="8" max="8" width="8.7265625" style="16"/>
    <col min="13" max="16" width="0" hidden="1" customWidth="1"/>
  </cols>
  <sheetData>
    <row r="1" spans="1:16" x14ac:dyDescent="0.35">
      <c r="C1" s="77" t="s">
        <v>343</v>
      </c>
      <c r="E1" s="89" t="s">
        <v>378</v>
      </c>
      <c r="G1" s="77">
        <v>2017</v>
      </c>
      <c r="H1" s="84"/>
      <c r="M1" t="s">
        <v>344</v>
      </c>
    </row>
    <row r="2" spans="1:16" x14ac:dyDescent="0.35">
      <c r="C2" s="77" t="s">
        <v>186</v>
      </c>
      <c r="E2" s="89" t="s">
        <v>377</v>
      </c>
      <c r="G2" s="77" t="s">
        <v>339</v>
      </c>
    </row>
    <row r="3" spans="1:16" x14ac:dyDescent="0.35">
      <c r="A3" t="s">
        <v>301</v>
      </c>
      <c r="C3" s="76"/>
      <c r="M3" s="15">
        <v>2000</v>
      </c>
      <c r="N3" s="83">
        <v>8</v>
      </c>
      <c r="O3" s="76">
        <f>M3*N3</f>
        <v>16000</v>
      </c>
      <c r="P3" t="s">
        <v>345</v>
      </c>
    </row>
    <row r="4" spans="1:16" ht="15.5" x14ac:dyDescent="0.35">
      <c r="A4" t="s">
        <v>187</v>
      </c>
      <c r="C4" s="76">
        <f>O4</f>
        <v>30000</v>
      </c>
      <c r="E4" s="61">
        <v>29369.360000000001</v>
      </c>
      <c r="G4" s="79">
        <f>26630.95</f>
        <v>26630.95</v>
      </c>
      <c r="I4" t="s">
        <v>147</v>
      </c>
      <c r="M4" s="15">
        <v>1200</v>
      </c>
      <c r="N4" s="83">
        <v>25</v>
      </c>
      <c r="O4" s="76">
        <f>M4*N4</f>
        <v>30000</v>
      </c>
      <c r="P4" t="s">
        <v>346</v>
      </c>
    </row>
    <row r="5" spans="1:16" ht="15.5" x14ac:dyDescent="0.35">
      <c r="A5" t="s">
        <v>188</v>
      </c>
      <c r="C5" s="76">
        <f>O3</f>
        <v>16000</v>
      </c>
      <c r="E5" s="61">
        <v>17724</v>
      </c>
      <c r="G5" s="79">
        <v>7464.49</v>
      </c>
      <c r="M5" s="15">
        <v>13500</v>
      </c>
      <c r="N5" s="83">
        <v>0.18</v>
      </c>
      <c r="O5" s="76">
        <f>M5*N5</f>
        <v>2430</v>
      </c>
      <c r="P5" t="s">
        <v>345</v>
      </c>
    </row>
    <row r="6" spans="1:16" ht="15.5" x14ac:dyDescent="0.35">
      <c r="A6" t="s">
        <v>234</v>
      </c>
      <c r="C6" s="76">
        <v>3875.31</v>
      </c>
      <c r="G6" s="79">
        <v>2137.84</v>
      </c>
    </row>
    <row r="7" spans="1:16" ht="15.5" x14ac:dyDescent="0.35">
      <c r="C7" s="76"/>
      <c r="G7" s="68"/>
    </row>
    <row r="8" spans="1:16" ht="15.5" x14ac:dyDescent="0.35">
      <c r="A8" t="s">
        <v>302</v>
      </c>
      <c r="C8" s="76">
        <f>SUM(C4:C6)</f>
        <v>49875.31</v>
      </c>
      <c r="E8" s="62">
        <f>SUM(E4:E6)</f>
        <v>47093.36</v>
      </c>
      <c r="G8" s="80">
        <f>SUM(G4:G6)</f>
        <v>36233.279999999999</v>
      </c>
    </row>
    <row r="9" spans="1:16" ht="15.5" x14ac:dyDescent="0.35">
      <c r="C9" s="76"/>
      <c r="G9" s="81"/>
    </row>
    <row r="10" spans="1:16" ht="15.5" x14ac:dyDescent="0.35">
      <c r="A10" t="s">
        <v>189</v>
      </c>
      <c r="C10" s="15">
        <v>1200</v>
      </c>
      <c r="E10" s="62">
        <v>1195</v>
      </c>
      <c r="G10" s="74">
        <v>1138</v>
      </c>
    </row>
    <row r="11" spans="1:16" ht="15.5" x14ac:dyDescent="0.35">
      <c r="C11" s="76"/>
      <c r="G11" s="68"/>
    </row>
    <row r="12" spans="1:16" ht="15.5" x14ac:dyDescent="0.35">
      <c r="A12" t="s">
        <v>303</v>
      </c>
      <c r="C12" s="76"/>
      <c r="G12" s="68"/>
    </row>
    <row r="13" spans="1:16" ht="15.5" x14ac:dyDescent="0.35">
      <c r="A13" t="s">
        <v>175</v>
      </c>
      <c r="C13" s="76">
        <v>6000</v>
      </c>
      <c r="E13" s="61">
        <v>4670</v>
      </c>
      <c r="G13" s="79">
        <v>7280</v>
      </c>
    </row>
    <row r="14" spans="1:16" ht="15.5" x14ac:dyDescent="0.35">
      <c r="A14" t="s">
        <v>125</v>
      </c>
      <c r="C14" s="76">
        <v>4000</v>
      </c>
      <c r="G14" s="79">
        <v>4705</v>
      </c>
    </row>
    <row r="15" spans="1:16" ht="15.5" x14ac:dyDescent="0.35">
      <c r="A15" t="s">
        <v>126</v>
      </c>
      <c r="C15" s="76"/>
      <c r="G15" s="68">
        <v>459</v>
      </c>
    </row>
    <row r="16" spans="1:16" ht="15.5" x14ac:dyDescent="0.35">
      <c r="A16" t="s">
        <v>190</v>
      </c>
      <c r="C16" s="76"/>
      <c r="E16" s="61" t="s">
        <v>147</v>
      </c>
      <c r="G16" s="68"/>
    </row>
    <row r="17" spans="1:10" ht="15.5" x14ac:dyDescent="0.35">
      <c r="A17" t="s">
        <v>311</v>
      </c>
      <c r="C17" s="76">
        <v>2150</v>
      </c>
      <c r="E17" s="62">
        <f>2000+5.56</f>
        <v>2005.56</v>
      </c>
      <c r="G17" s="79">
        <f>2250</f>
        <v>2250</v>
      </c>
    </row>
    <row r="18" spans="1:10" ht="16" thickBot="1" x14ac:dyDescent="0.4">
      <c r="A18" t="s">
        <v>349</v>
      </c>
      <c r="C18" s="76">
        <v>1400</v>
      </c>
      <c r="E18" s="65">
        <v>2864</v>
      </c>
      <c r="G18" s="82">
        <v>2469</v>
      </c>
    </row>
    <row r="19" spans="1:10" x14ac:dyDescent="0.35">
      <c r="C19" s="76"/>
      <c r="G19" s="10"/>
    </row>
    <row r="20" spans="1:10" x14ac:dyDescent="0.35">
      <c r="A20" s="19" t="s">
        <v>3</v>
      </c>
      <c r="B20" s="19"/>
      <c r="C20" s="85">
        <f>C8+SUM(C13:C18)</f>
        <v>63425.31</v>
      </c>
      <c r="D20" s="19"/>
      <c r="E20" s="88">
        <f>SUM(E13:E18)+E8</f>
        <v>56632.92</v>
      </c>
      <c r="F20" s="19"/>
      <c r="G20" s="59">
        <f>SUM(G13:G18)+G8</f>
        <v>53396.28</v>
      </c>
      <c r="H20" s="86"/>
    </row>
    <row r="21" spans="1:10" x14ac:dyDescent="0.35">
      <c r="C21" s="76"/>
      <c r="G21" s="10"/>
    </row>
    <row r="22" spans="1:10" x14ac:dyDescent="0.35">
      <c r="A22" t="s">
        <v>127</v>
      </c>
      <c r="C22" s="76"/>
      <c r="G22" s="10"/>
    </row>
    <row r="23" spans="1:10" ht="15.5" x14ac:dyDescent="0.35">
      <c r="A23" t="s">
        <v>193</v>
      </c>
      <c r="C23" s="76">
        <v>3000</v>
      </c>
      <c r="E23" s="62">
        <v>1245</v>
      </c>
      <c r="G23" s="68">
        <v>-35</v>
      </c>
    </row>
    <row r="24" spans="1:10" ht="15.5" x14ac:dyDescent="0.35">
      <c r="A24" t="s">
        <v>287</v>
      </c>
      <c r="C24" s="76">
        <v>4000</v>
      </c>
      <c r="E24" s="62">
        <f>3025+33</f>
        <v>3058</v>
      </c>
      <c r="G24" s="68">
        <v>2832</v>
      </c>
    </row>
    <row r="25" spans="1:10" ht="15.5" x14ac:dyDescent="0.35">
      <c r="A25" t="s">
        <v>130</v>
      </c>
      <c r="C25" s="76"/>
      <c r="G25" s="68"/>
    </row>
    <row r="26" spans="1:10" ht="15.5" x14ac:dyDescent="0.35">
      <c r="A26" t="s">
        <v>306</v>
      </c>
      <c r="C26" s="76">
        <v>550</v>
      </c>
      <c r="E26" s="62">
        <v>900</v>
      </c>
      <c r="G26" s="68">
        <v>517</v>
      </c>
    </row>
    <row r="27" spans="1:10" ht="15.5" x14ac:dyDescent="0.35">
      <c r="A27" t="s">
        <v>194</v>
      </c>
      <c r="C27" s="76">
        <v>4500</v>
      </c>
      <c r="E27" s="61">
        <v>2630.32</v>
      </c>
      <c r="G27" s="68">
        <v>2941</v>
      </c>
      <c r="I27" t="s">
        <v>147</v>
      </c>
    </row>
    <row r="28" spans="1:10" ht="15.5" x14ac:dyDescent="0.35">
      <c r="A28" t="s">
        <v>269</v>
      </c>
      <c r="C28" s="76">
        <v>0</v>
      </c>
      <c r="E28" s="62">
        <v>-509</v>
      </c>
      <c r="G28" s="68">
        <f>-670+360</f>
        <v>-310</v>
      </c>
    </row>
    <row r="29" spans="1:10" ht="15.5" x14ac:dyDescent="0.35">
      <c r="A29" t="s">
        <v>353</v>
      </c>
      <c r="C29" s="76">
        <v>800</v>
      </c>
      <c r="E29" s="62">
        <v>640</v>
      </c>
      <c r="G29" s="68">
        <v>27</v>
      </c>
      <c r="I29" t="s">
        <v>147</v>
      </c>
      <c r="J29" t="s">
        <v>147</v>
      </c>
    </row>
    <row r="30" spans="1:10" ht="15.5" x14ac:dyDescent="0.35">
      <c r="A30" t="s">
        <v>355</v>
      </c>
      <c r="C30" s="76">
        <v>6000</v>
      </c>
      <c r="G30" s="68"/>
    </row>
    <row r="31" spans="1:10" ht="15.5" x14ac:dyDescent="0.35">
      <c r="A31" t="s">
        <v>358</v>
      </c>
      <c r="C31" s="76">
        <v>1500</v>
      </c>
      <c r="E31" s="62">
        <v>4000</v>
      </c>
      <c r="G31" s="68">
        <v>1064</v>
      </c>
    </row>
    <row r="32" spans="1:10" ht="15.5" x14ac:dyDescent="0.35">
      <c r="A32" t="s">
        <v>359</v>
      </c>
      <c r="C32" s="76">
        <v>2000</v>
      </c>
      <c r="E32" s="61">
        <v>1600</v>
      </c>
      <c r="G32" s="68">
        <v>1000</v>
      </c>
    </row>
    <row r="33" spans="1:10" ht="15.5" x14ac:dyDescent="0.35">
      <c r="A33" t="s">
        <v>360</v>
      </c>
      <c r="C33" s="76">
        <v>1000</v>
      </c>
      <c r="E33" s="62">
        <v>964</v>
      </c>
      <c r="G33" s="68">
        <v>1425</v>
      </c>
    </row>
    <row r="34" spans="1:10" ht="15.5" x14ac:dyDescent="0.35">
      <c r="A34" t="s">
        <v>365</v>
      </c>
      <c r="C34" s="76">
        <v>7800</v>
      </c>
      <c r="E34" s="62">
        <v>6179</v>
      </c>
      <c r="G34" s="68">
        <v>8312.75</v>
      </c>
    </row>
    <row r="35" spans="1:10" ht="15.5" x14ac:dyDescent="0.35">
      <c r="A35" t="s">
        <v>25</v>
      </c>
      <c r="C35" s="76">
        <v>3500</v>
      </c>
      <c r="E35" s="62">
        <v>2793</v>
      </c>
      <c r="G35" s="68">
        <v>2793</v>
      </c>
    </row>
    <row r="36" spans="1:10" ht="15.5" x14ac:dyDescent="0.35">
      <c r="A36" t="s">
        <v>28</v>
      </c>
      <c r="C36" s="76">
        <v>500</v>
      </c>
      <c r="E36" s="62">
        <v>52.29</v>
      </c>
      <c r="G36" s="68"/>
    </row>
    <row r="37" spans="1:10" ht="15.5" x14ac:dyDescent="0.35">
      <c r="A37" t="s">
        <v>73</v>
      </c>
      <c r="C37" s="76">
        <v>1500</v>
      </c>
      <c r="E37" s="62">
        <v>1433</v>
      </c>
      <c r="G37" s="68">
        <v>1062</v>
      </c>
    </row>
    <row r="38" spans="1:10" ht="15.5" x14ac:dyDescent="0.35">
      <c r="A38" t="s">
        <v>133</v>
      </c>
      <c r="C38" s="76">
        <v>0</v>
      </c>
      <c r="E38" s="62">
        <v>0</v>
      </c>
      <c r="G38" s="68"/>
    </row>
    <row r="39" spans="1:10" ht="15.5" x14ac:dyDescent="0.35">
      <c r="A39" t="s">
        <v>152</v>
      </c>
      <c r="C39" s="76">
        <v>200</v>
      </c>
      <c r="E39" s="62">
        <f>253+42</f>
        <v>295</v>
      </c>
      <c r="G39" s="68">
        <v>130</v>
      </c>
    </row>
    <row r="40" spans="1:10" ht="15.5" x14ac:dyDescent="0.35">
      <c r="A40" t="s">
        <v>361</v>
      </c>
      <c r="C40" s="76">
        <v>600</v>
      </c>
      <c r="E40" s="62">
        <v>762</v>
      </c>
      <c r="G40" s="68">
        <f>240-100</f>
        <v>140</v>
      </c>
    </row>
    <row r="41" spans="1:10" ht="15.5" x14ac:dyDescent="0.35">
      <c r="A41" t="s">
        <v>195</v>
      </c>
      <c r="C41" s="76">
        <v>700</v>
      </c>
      <c r="E41" s="62">
        <v>65</v>
      </c>
      <c r="G41" s="68" t="s">
        <v>147</v>
      </c>
    </row>
    <row r="42" spans="1:10" ht="15.5" x14ac:dyDescent="0.35">
      <c r="A42" t="s">
        <v>141</v>
      </c>
      <c r="C42" s="76">
        <v>0</v>
      </c>
      <c r="E42" s="62">
        <f>250+158</f>
        <v>408</v>
      </c>
      <c r="G42" s="68">
        <v>3</v>
      </c>
    </row>
    <row r="43" spans="1:10" ht="15.5" x14ac:dyDescent="0.35">
      <c r="A43" t="s">
        <v>135</v>
      </c>
      <c r="C43" s="76"/>
      <c r="E43" s="62">
        <v>175</v>
      </c>
      <c r="G43" s="68"/>
    </row>
    <row r="44" spans="1:10" ht="15.5" x14ac:dyDescent="0.35">
      <c r="A44" t="s">
        <v>199</v>
      </c>
      <c r="C44" s="76">
        <v>500</v>
      </c>
      <c r="E44" s="62">
        <f>550</f>
        <v>550</v>
      </c>
      <c r="G44" s="68">
        <v>900</v>
      </c>
    </row>
    <row r="45" spans="1:10" ht="15.5" x14ac:dyDescent="0.35">
      <c r="A45" t="s">
        <v>136</v>
      </c>
      <c r="C45" s="76">
        <v>19050</v>
      </c>
      <c r="E45" s="62">
        <v>18950</v>
      </c>
      <c r="G45" s="68">
        <v>19050</v>
      </c>
    </row>
    <row r="46" spans="1:10" ht="15.5" x14ac:dyDescent="0.35">
      <c r="A46" t="s">
        <v>362</v>
      </c>
      <c r="C46" s="76">
        <v>0</v>
      </c>
      <c r="G46" s="68"/>
    </row>
    <row r="47" spans="1:10" x14ac:dyDescent="0.35">
      <c r="C47" s="76"/>
    </row>
    <row r="48" spans="1:10" x14ac:dyDescent="0.35">
      <c r="A48" s="19" t="s">
        <v>139</v>
      </c>
      <c r="B48" s="19"/>
      <c r="C48" s="85">
        <f>SUM(C23:C46)</f>
        <v>57700</v>
      </c>
      <c r="D48" s="19"/>
      <c r="E48" s="88">
        <f>SUM(E23:E46)</f>
        <v>46190.61</v>
      </c>
      <c r="F48" s="19"/>
      <c r="G48" s="85">
        <f>SUM(G23:G46)</f>
        <v>41851.75</v>
      </c>
      <c r="H48" s="86"/>
      <c r="J48" s="15"/>
    </row>
    <row r="49" spans="1:10" x14ac:dyDescent="0.35">
      <c r="C49" s="76"/>
      <c r="G49" s="76"/>
    </row>
    <row r="50" spans="1:10" x14ac:dyDescent="0.35">
      <c r="A50" s="19" t="s">
        <v>140</v>
      </c>
      <c r="B50" s="19"/>
      <c r="C50" s="85">
        <f>C20-C48</f>
        <v>5725.3099999999977</v>
      </c>
      <c r="D50" s="19"/>
      <c r="E50" s="88">
        <f>E20-E48</f>
        <v>10442.309999999998</v>
      </c>
      <c r="F50" s="19"/>
      <c r="G50" s="85">
        <f>G20-G48</f>
        <v>11544.529999999999</v>
      </c>
      <c r="H50" s="86"/>
    </row>
    <row r="51" spans="1:10" x14ac:dyDescent="0.35">
      <c r="J51" s="87" t="s">
        <v>147</v>
      </c>
    </row>
    <row r="53" spans="1:10" x14ac:dyDescent="0.35">
      <c r="A53" s="1" t="s">
        <v>347</v>
      </c>
    </row>
    <row r="54" spans="1:10" x14ac:dyDescent="0.35">
      <c r="A54" s="1" t="s">
        <v>326</v>
      </c>
    </row>
    <row r="55" spans="1:10" x14ac:dyDescent="0.35">
      <c r="A55" s="1" t="s">
        <v>348</v>
      </c>
    </row>
    <row r="56" spans="1:10" x14ac:dyDescent="0.35">
      <c r="A56" s="1" t="s">
        <v>350</v>
      </c>
    </row>
    <row r="57" spans="1:10" x14ac:dyDescent="0.35">
      <c r="A57" s="1" t="s">
        <v>351</v>
      </c>
    </row>
    <row r="58" spans="1:10" x14ac:dyDescent="0.35">
      <c r="A58" s="1" t="s">
        <v>352</v>
      </c>
    </row>
    <row r="59" spans="1:10" x14ac:dyDescent="0.35">
      <c r="A59" s="1" t="s">
        <v>354</v>
      </c>
    </row>
    <row r="60" spans="1:10" x14ac:dyDescent="0.35">
      <c r="A60" s="1" t="s">
        <v>356</v>
      </c>
    </row>
    <row r="61" spans="1:10" x14ac:dyDescent="0.35">
      <c r="A61" s="1" t="s">
        <v>357</v>
      </c>
    </row>
    <row r="62" spans="1:10" x14ac:dyDescent="0.35">
      <c r="A62" s="1" t="s">
        <v>363</v>
      </c>
    </row>
    <row r="63" spans="1:10" x14ac:dyDescent="0.35">
      <c r="A63" s="1" t="s">
        <v>364</v>
      </c>
    </row>
    <row r="64" spans="1:10" x14ac:dyDescent="0.35">
      <c r="A64" s="1" t="s">
        <v>366</v>
      </c>
    </row>
    <row r="65" spans="1:1" x14ac:dyDescent="0.35">
      <c r="A65" s="1" t="s">
        <v>367</v>
      </c>
    </row>
    <row r="66" spans="1:1" x14ac:dyDescent="0.35">
      <c r="A66" s="1" t="s">
        <v>368</v>
      </c>
    </row>
  </sheetData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8"/>
  <sheetViews>
    <sheetView workbookViewId="0">
      <selection activeCell="C2" sqref="C2"/>
    </sheetView>
  </sheetViews>
  <sheetFormatPr defaultRowHeight="14.5" x14ac:dyDescent="0.35"/>
  <sheetData>
    <row r="1" spans="1:9" x14ac:dyDescent="0.35">
      <c r="A1" t="s">
        <v>179</v>
      </c>
    </row>
    <row r="2" spans="1:9" x14ac:dyDescent="0.35">
      <c r="A2" s="19">
        <v>2015</v>
      </c>
    </row>
    <row r="3" spans="1:9" x14ac:dyDescent="0.35">
      <c r="A3">
        <v>1317</v>
      </c>
      <c r="B3" t="s">
        <v>180</v>
      </c>
    </row>
    <row r="5" spans="1:9" x14ac:dyDescent="0.35">
      <c r="A5" s="32">
        <v>945</v>
      </c>
      <c r="B5" t="s">
        <v>181</v>
      </c>
      <c r="I5">
        <v>1145</v>
      </c>
    </row>
    <row r="6" spans="1:9" x14ac:dyDescent="0.35">
      <c r="A6">
        <v>338</v>
      </c>
      <c r="B6" t="s">
        <v>182</v>
      </c>
    </row>
    <row r="7" spans="1:9" x14ac:dyDescent="0.35">
      <c r="A7">
        <v>52</v>
      </c>
      <c r="B7" t="s">
        <v>183</v>
      </c>
    </row>
    <row r="8" spans="1:9" x14ac:dyDescent="0.35">
      <c r="A8" s="32">
        <f>SUM(A5:A7)</f>
        <v>1335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25"/>
  <sheetViews>
    <sheetView topLeftCell="B1" workbookViewId="0">
      <selection activeCell="R19" sqref="R19"/>
    </sheetView>
  </sheetViews>
  <sheetFormatPr defaultRowHeight="14.5" x14ac:dyDescent="0.35"/>
  <cols>
    <col min="1" max="1" width="28.6328125" customWidth="1"/>
  </cols>
  <sheetData>
    <row r="1" spans="1:17" x14ac:dyDescent="0.35">
      <c r="B1" t="s">
        <v>217</v>
      </c>
      <c r="H1" t="s">
        <v>275</v>
      </c>
      <c r="K1" t="s">
        <v>340</v>
      </c>
      <c r="M1" t="s">
        <v>341</v>
      </c>
      <c r="P1" t="s">
        <v>375</v>
      </c>
    </row>
    <row r="2" spans="1:17" x14ac:dyDescent="0.35">
      <c r="A2" t="s">
        <v>51</v>
      </c>
      <c r="B2">
        <v>5000</v>
      </c>
      <c r="C2" t="s">
        <v>200</v>
      </c>
      <c r="H2">
        <v>5000</v>
      </c>
      <c r="K2">
        <v>5000</v>
      </c>
      <c r="M2">
        <v>5000</v>
      </c>
      <c r="N2" t="s">
        <v>200</v>
      </c>
      <c r="P2">
        <v>5000</v>
      </c>
      <c r="Q2" t="s">
        <v>200</v>
      </c>
    </row>
    <row r="3" spans="1:17" x14ac:dyDescent="0.35">
      <c r="A3" t="s">
        <v>162</v>
      </c>
      <c r="B3">
        <v>1000</v>
      </c>
      <c r="C3" t="s">
        <v>201</v>
      </c>
      <c r="H3">
        <v>1000</v>
      </c>
      <c r="K3">
        <v>1000</v>
      </c>
      <c r="M3">
        <v>1000</v>
      </c>
      <c r="N3" t="s">
        <v>201</v>
      </c>
      <c r="P3">
        <v>1000</v>
      </c>
      <c r="Q3" t="s">
        <v>201</v>
      </c>
    </row>
    <row r="4" spans="1:17" x14ac:dyDescent="0.35">
      <c r="A4" t="s">
        <v>53</v>
      </c>
      <c r="B4">
        <v>500</v>
      </c>
      <c r="C4" t="s">
        <v>202</v>
      </c>
      <c r="H4">
        <v>500</v>
      </c>
      <c r="K4">
        <v>500</v>
      </c>
      <c r="M4">
        <v>500</v>
      </c>
      <c r="N4" t="s">
        <v>202</v>
      </c>
      <c r="P4">
        <v>500</v>
      </c>
      <c r="Q4" t="s">
        <v>202</v>
      </c>
    </row>
    <row r="5" spans="1:17" x14ac:dyDescent="0.35">
      <c r="A5" t="s">
        <v>54</v>
      </c>
      <c r="B5">
        <v>2000</v>
      </c>
      <c r="C5" t="s">
        <v>203</v>
      </c>
      <c r="E5" t="s">
        <v>147</v>
      </c>
      <c r="H5">
        <v>2000</v>
      </c>
      <c r="K5">
        <v>2000</v>
      </c>
      <c r="M5">
        <v>2000</v>
      </c>
      <c r="N5" t="s">
        <v>203</v>
      </c>
      <c r="P5">
        <v>2000</v>
      </c>
      <c r="Q5" t="s">
        <v>147</v>
      </c>
    </row>
    <row r="6" spans="1:17" x14ac:dyDescent="0.35">
      <c r="A6" t="s">
        <v>75</v>
      </c>
      <c r="B6">
        <v>1000</v>
      </c>
      <c r="C6" t="s">
        <v>201</v>
      </c>
      <c r="H6">
        <v>1000</v>
      </c>
      <c r="K6">
        <v>1000</v>
      </c>
      <c r="M6">
        <v>1000</v>
      </c>
      <c r="N6" t="s">
        <v>201</v>
      </c>
      <c r="P6">
        <v>1000</v>
      </c>
      <c r="Q6" t="s">
        <v>201</v>
      </c>
    </row>
    <row r="7" spans="1:17" x14ac:dyDescent="0.35">
      <c r="A7" t="s">
        <v>76</v>
      </c>
      <c r="B7" s="11">
        <v>0</v>
      </c>
      <c r="C7" t="s">
        <v>204</v>
      </c>
      <c r="D7" t="s">
        <v>147</v>
      </c>
      <c r="G7" t="s">
        <v>147</v>
      </c>
      <c r="H7" s="11">
        <v>0</v>
      </c>
      <c r="K7" s="11">
        <v>0</v>
      </c>
      <c r="M7" s="11">
        <v>0</v>
      </c>
      <c r="P7" s="11">
        <v>0</v>
      </c>
    </row>
    <row r="8" spans="1:17" x14ac:dyDescent="0.35">
      <c r="A8" t="s">
        <v>56</v>
      </c>
      <c r="B8">
        <v>200</v>
      </c>
      <c r="C8" t="s">
        <v>205</v>
      </c>
      <c r="D8" t="s">
        <v>342</v>
      </c>
      <c r="H8">
        <v>200</v>
      </c>
      <c r="K8">
        <v>200</v>
      </c>
      <c r="M8">
        <v>200</v>
      </c>
      <c r="N8" t="s">
        <v>373</v>
      </c>
      <c r="P8">
        <v>200</v>
      </c>
      <c r="Q8" t="s">
        <v>373</v>
      </c>
    </row>
    <row r="9" spans="1:17" x14ac:dyDescent="0.35">
      <c r="A9" t="s">
        <v>57</v>
      </c>
      <c r="B9">
        <v>2000</v>
      </c>
      <c r="C9" t="s">
        <v>206</v>
      </c>
      <c r="H9">
        <v>2000</v>
      </c>
      <c r="K9">
        <v>2000</v>
      </c>
      <c r="M9">
        <v>2000</v>
      </c>
      <c r="N9" t="s">
        <v>206</v>
      </c>
      <c r="P9">
        <v>2000</v>
      </c>
      <c r="Q9" t="s">
        <v>206</v>
      </c>
    </row>
    <row r="10" spans="1:17" x14ac:dyDescent="0.35">
      <c r="A10" t="s">
        <v>77</v>
      </c>
      <c r="B10">
        <v>1000</v>
      </c>
      <c r="C10" t="s">
        <v>207</v>
      </c>
      <c r="H10">
        <v>1000</v>
      </c>
      <c r="K10">
        <v>1000</v>
      </c>
      <c r="M10">
        <v>1000</v>
      </c>
      <c r="N10" t="s">
        <v>374</v>
      </c>
      <c r="P10">
        <v>1000</v>
      </c>
      <c r="Q10" t="s">
        <v>374</v>
      </c>
    </row>
    <row r="11" spans="1:17" x14ac:dyDescent="0.35">
      <c r="A11" t="s">
        <v>58</v>
      </c>
      <c r="B11" s="38">
        <v>2000</v>
      </c>
      <c r="C11" t="s">
        <v>208</v>
      </c>
      <c r="G11" t="s">
        <v>147</v>
      </c>
      <c r="H11" s="38">
        <v>2000</v>
      </c>
      <c r="K11" s="38">
        <v>2000</v>
      </c>
      <c r="M11" s="38">
        <v>2000</v>
      </c>
      <c r="N11" t="s">
        <v>208</v>
      </c>
      <c r="P11" s="38">
        <v>2000</v>
      </c>
      <c r="Q11" t="s">
        <v>208</v>
      </c>
    </row>
    <row r="12" spans="1:17" x14ac:dyDescent="0.35">
      <c r="A12" t="s">
        <v>59</v>
      </c>
      <c r="B12">
        <v>500</v>
      </c>
      <c r="C12" t="s">
        <v>203</v>
      </c>
      <c r="H12">
        <v>500</v>
      </c>
      <c r="K12">
        <v>500</v>
      </c>
      <c r="M12">
        <v>500</v>
      </c>
      <c r="N12" t="s">
        <v>203</v>
      </c>
      <c r="P12">
        <v>500</v>
      </c>
      <c r="Q12" t="s">
        <v>147</v>
      </c>
    </row>
    <row r="13" spans="1:17" x14ac:dyDescent="0.35">
      <c r="A13" t="s">
        <v>78</v>
      </c>
      <c r="B13">
        <v>1000</v>
      </c>
      <c r="C13" t="s">
        <v>202</v>
      </c>
      <c r="H13">
        <v>1000</v>
      </c>
      <c r="K13">
        <v>1000</v>
      </c>
      <c r="M13">
        <v>1000</v>
      </c>
      <c r="N13" t="s">
        <v>202</v>
      </c>
      <c r="P13">
        <v>1000</v>
      </c>
      <c r="Q13" t="s">
        <v>202</v>
      </c>
    </row>
    <row r="14" spans="1:17" x14ac:dyDescent="0.35">
      <c r="A14" t="s">
        <v>79</v>
      </c>
      <c r="B14">
        <v>100</v>
      </c>
      <c r="C14" t="s">
        <v>216</v>
      </c>
      <c r="D14" t="s">
        <v>147</v>
      </c>
      <c r="H14">
        <v>100</v>
      </c>
      <c r="K14">
        <v>100</v>
      </c>
      <c r="M14">
        <v>100</v>
      </c>
      <c r="N14" t="s">
        <v>216</v>
      </c>
      <c r="P14">
        <v>100</v>
      </c>
      <c r="Q14" t="s">
        <v>216</v>
      </c>
    </row>
    <row r="15" spans="1:17" x14ac:dyDescent="0.35">
      <c r="A15" t="s">
        <v>169</v>
      </c>
      <c r="B15" s="11">
        <v>0</v>
      </c>
      <c r="D15" t="s">
        <v>147</v>
      </c>
      <c r="H15" s="11">
        <v>0</v>
      </c>
      <c r="K15" s="11">
        <v>0</v>
      </c>
      <c r="M15" s="11">
        <v>0</v>
      </c>
      <c r="P15" s="11">
        <v>0</v>
      </c>
    </row>
    <row r="16" spans="1:17" x14ac:dyDescent="0.35">
      <c r="A16" t="s">
        <v>172</v>
      </c>
      <c r="B16">
        <v>750</v>
      </c>
      <c r="C16" t="s">
        <v>209</v>
      </c>
      <c r="D16" t="s">
        <v>147</v>
      </c>
      <c r="H16">
        <v>750</v>
      </c>
      <c r="K16">
        <v>750</v>
      </c>
      <c r="M16">
        <v>750</v>
      </c>
      <c r="N16" t="s">
        <v>372</v>
      </c>
      <c r="P16">
        <v>750</v>
      </c>
      <c r="Q16" t="s">
        <v>372</v>
      </c>
    </row>
    <row r="17" spans="1:17" x14ac:dyDescent="0.35">
      <c r="A17" t="s">
        <v>210</v>
      </c>
      <c r="B17">
        <v>1000</v>
      </c>
      <c r="C17" t="s">
        <v>205</v>
      </c>
      <c r="D17" t="s">
        <v>215</v>
      </c>
      <c r="H17">
        <v>1000</v>
      </c>
      <c r="K17">
        <v>1000</v>
      </c>
      <c r="M17">
        <v>1000</v>
      </c>
      <c r="N17" t="s">
        <v>370</v>
      </c>
      <c r="P17">
        <v>1000</v>
      </c>
      <c r="Q17" t="s">
        <v>370</v>
      </c>
    </row>
    <row r="18" spans="1:17" x14ac:dyDescent="0.35">
      <c r="A18" t="s">
        <v>211</v>
      </c>
      <c r="B18">
        <v>450</v>
      </c>
      <c r="C18" t="s">
        <v>212</v>
      </c>
      <c r="D18" t="s">
        <v>215</v>
      </c>
      <c r="H18">
        <v>450</v>
      </c>
      <c r="K18">
        <v>450</v>
      </c>
      <c r="M18">
        <v>450</v>
      </c>
      <c r="N18" t="s">
        <v>212</v>
      </c>
      <c r="P18">
        <v>450</v>
      </c>
      <c r="Q18" t="s">
        <v>376</v>
      </c>
    </row>
    <row r="19" spans="1:17" x14ac:dyDescent="0.35">
      <c r="A19" t="s">
        <v>213</v>
      </c>
      <c r="B19">
        <v>450</v>
      </c>
      <c r="C19" t="s">
        <v>214</v>
      </c>
      <c r="D19" t="s">
        <v>215</v>
      </c>
      <c r="H19">
        <v>450</v>
      </c>
      <c r="K19">
        <v>450</v>
      </c>
      <c r="M19">
        <v>450</v>
      </c>
      <c r="N19" t="s">
        <v>212</v>
      </c>
      <c r="P19">
        <v>450</v>
      </c>
      <c r="Q19" t="s">
        <v>376</v>
      </c>
    </row>
    <row r="20" spans="1:17" ht="15.75" customHeight="1" x14ac:dyDescent="0.35">
      <c r="A20" t="s">
        <v>371</v>
      </c>
      <c r="B20">
        <v>100</v>
      </c>
      <c r="C20" t="s">
        <v>209</v>
      </c>
      <c r="D20" t="s">
        <v>215</v>
      </c>
      <c r="H20">
        <v>100</v>
      </c>
      <c r="K20">
        <v>100</v>
      </c>
      <c r="M20">
        <v>100</v>
      </c>
      <c r="N20" t="s">
        <v>372</v>
      </c>
      <c r="P20">
        <v>100</v>
      </c>
      <c r="Q20" t="s">
        <v>372</v>
      </c>
    </row>
    <row r="21" spans="1:17" s="52" customFormat="1" x14ac:dyDescent="0.35">
      <c r="A21" s="52" t="s">
        <v>274</v>
      </c>
      <c r="B21" s="52">
        <v>0</v>
      </c>
      <c r="F21" s="52" t="s">
        <v>147</v>
      </c>
      <c r="H21" s="52">
        <v>0</v>
      </c>
      <c r="I21" s="52" t="s">
        <v>276</v>
      </c>
      <c r="K21" s="52">
        <v>0</v>
      </c>
      <c r="M21" s="52">
        <v>0</v>
      </c>
      <c r="P21" s="52">
        <v>0</v>
      </c>
    </row>
    <row r="24" spans="1:17" x14ac:dyDescent="0.35">
      <c r="A24" t="s">
        <v>161</v>
      </c>
      <c r="B24">
        <f>SUM(B2:B21)</f>
        <v>19050</v>
      </c>
      <c r="H24">
        <f>SUM(H2:H21)</f>
        <v>19050</v>
      </c>
      <c r="K24">
        <f>SUM(K2:K21)</f>
        <v>19050</v>
      </c>
      <c r="M24">
        <f>SUM(M2:M21)</f>
        <v>19050</v>
      </c>
      <c r="P24">
        <f>SUM(P2:P21)</f>
        <v>19050</v>
      </c>
    </row>
    <row r="25" spans="1:17" x14ac:dyDescent="0.35">
      <c r="A25" t="s">
        <v>147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7"/>
  <sheetViews>
    <sheetView workbookViewId="0">
      <selection activeCell="A4" sqref="A4"/>
    </sheetView>
  </sheetViews>
  <sheetFormatPr defaultRowHeight="14.5" x14ac:dyDescent="0.35"/>
  <cols>
    <col min="1" max="2" width="11.26953125" customWidth="1"/>
    <col min="4" max="4" width="13.54296875" customWidth="1"/>
    <col min="6" max="6" width="10.1796875" bestFit="1" customWidth="1"/>
    <col min="7" max="7" width="10.1796875" customWidth="1"/>
    <col min="8" max="9" width="11.81640625" customWidth="1"/>
  </cols>
  <sheetData>
    <row r="1" spans="1:11" x14ac:dyDescent="0.35">
      <c r="B1" s="19" t="s">
        <v>161</v>
      </c>
      <c r="C1" s="19" t="s">
        <v>161</v>
      </c>
      <c r="D1" s="19" t="s">
        <v>161</v>
      </c>
      <c r="E1" s="19" t="s">
        <v>320</v>
      </c>
      <c r="F1" t="s">
        <v>279</v>
      </c>
    </row>
    <row r="2" spans="1:11" x14ac:dyDescent="0.35">
      <c r="B2" s="19">
        <v>2014</v>
      </c>
      <c r="C2" s="19">
        <v>2015</v>
      </c>
      <c r="D2" s="19">
        <v>2016</v>
      </c>
      <c r="E2" s="19">
        <v>2017</v>
      </c>
      <c r="F2" t="s">
        <v>232</v>
      </c>
      <c r="G2" t="s">
        <v>280</v>
      </c>
      <c r="H2" t="s">
        <v>321</v>
      </c>
      <c r="I2" t="s">
        <v>322</v>
      </c>
      <c r="J2" t="s">
        <v>282</v>
      </c>
    </row>
    <row r="3" spans="1:11" x14ac:dyDescent="0.35">
      <c r="A3" t="s">
        <v>231</v>
      </c>
      <c r="B3">
        <f>B11+B19+B27+B36</f>
        <v>23296</v>
      </c>
      <c r="C3">
        <f>C11+C19+C27+C36</f>
        <v>20851</v>
      </c>
      <c r="D3">
        <v>15485</v>
      </c>
      <c r="E3">
        <v>13913</v>
      </c>
      <c r="F3" s="39">
        <f>(C3-B3)/C3</f>
        <v>-0.11726056304253993</v>
      </c>
      <c r="G3" s="39">
        <f>(D3-C3)/D3</f>
        <v>-0.34652889893445271</v>
      </c>
      <c r="H3" s="39">
        <f>(E3-D3)/E3</f>
        <v>-0.1129878530870409</v>
      </c>
      <c r="I3" s="15">
        <v>12501</v>
      </c>
      <c r="J3">
        <v>0.31</v>
      </c>
      <c r="K3">
        <f>I3*J3</f>
        <v>3875.31</v>
      </c>
    </row>
    <row r="4" spans="1:11" x14ac:dyDescent="0.35">
      <c r="A4" t="s">
        <v>218</v>
      </c>
    </row>
    <row r="5" spans="1:11" x14ac:dyDescent="0.35">
      <c r="A5" t="s">
        <v>219</v>
      </c>
      <c r="B5">
        <v>2694</v>
      </c>
      <c r="C5">
        <v>1933</v>
      </c>
      <c r="D5">
        <v>2269</v>
      </c>
    </row>
    <row r="6" spans="1:11" x14ac:dyDescent="0.35">
      <c r="A6" t="s">
        <v>220</v>
      </c>
      <c r="B6">
        <v>812</v>
      </c>
      <c r="C6">
        <v>1241</v>
      </c>
      <c r="D6">
        <v>1032</v>
      </c>
    </row>
    <row r="7" spans="1:11" x14ac:dyDescent="0.35">
      <c r="A7" t="s">
        <v>221</v>
      </c>
      <c r="C7">
        <v>210</v>
      </c>
      <c r="D7">
        <v>157</v>
      </c>
    </row>
    <row r="8" spans="1:11" x14ac:dyDescent="0.35">
      <c r="A8" t="s">
        <v>222</v>
      </c>
      <c r="B8">
        <v>3248</v>
      </c>
      <c r="C8">
        <v>3307</v>
      </c>
      <c r="D8">
        <v>2537</v>
      </c>
    </row>
    <row r="9" spans="1:11" x14ac:dyDescent="0.35">
      <c r="A9" t="s">
        <v>223</v>
      </c>
      <c r="B9">
        <v>7018</v>
      </c>
      <c r="C9">
        <v>5900</v>
      </c>
      <c r="D9">
        <v>5725</v>
      </c>
    </row>
    <row r="10" spans="1:11" x14ac:dyDescent="0.35">
      <c r="A10" t="s">
        <v>278</v>
      </c>
      <c r="B10">
        <f>145+166</f>
        <v>311</v>
      </c>
      <c r="C10">
        <f>24+94</f>
        <v>118</v>
      </c>
    </row>
    <row r="11" spans="1:11" x14ac:dyDescent="0.35">
      <c r="A11" t="s">
        <v>227</v>
      </c>
      <c r="B11">
        <f>SUM(B5:B10)</f>
        <v>14083</v>
      </c>
      <c r="C11">
        <f>SUM(C5:C10)</f>
        <v>12709</v>
      </c>
      <c r="D11">
        <f>SUM(D5:D10)</f>
        <v>11720</v>
      </c>
      <c r="F11" s="39">
        <f>(C11-B11)/C11</f>
        <v>-0.10811236131875049</v>
      </c>
      <c r="G11" s="39">
        <f>(D11-C11)/D11</f>
        <v>-8.4385665529010237E-2</v>
      </c>
      <c r="K11" t="s">
        <v>147</v>
      </c>
    </row>
    <row r="13" spans="1:11" x14ac:dyDescent="0.35">
      <c r="A13" t="s">
        <v>225</v>
      </c>
      <c r="K13" t="s">
        <v>147</v>
      </c>
    </row>
    <row r="14" spans="1:11" x14ac:dyDescent="0.35">
      <c r="A14" t="s">
        <v>219</v>
      </c>
      <c r="B14">
        <v>930</v>
      </c>
      <c r="C14">
        <v>881</v>
      </c>
    </row>
    <row r="15" spans="1:11" x14ac:dyDescent="0.35">
      <c r="A15" t="s">
        <v>220</v>
      </c>
    </row>
    <row r="16" spans="1:11" x14ac:dyDescent="0.35">
      <c r="A16" t="s">
        <v>221</v>
      </c>
    </row>
    <row r="17" spans="1:8" x14ac:dyDescent="0.35">
      <c r="A17" t="s">
        <v>222</v>
      </c>
      <c r="B17">
        <v>207</v>
      </c>
      <c r="C17">
        <v>233</v>
      </c>
    </row>
    <row r="18" spans="1:8" x14ac:dyDescent="0.35">
      <c r="A18" t="s">
        <v>223</v>
      </c>
      <c r="B18">
        <v>2111</v>
      </c>
      <c r="C18">
        <v>1747</v>
      </c>
      <c r="D18">
        <v>47</v>
      </c>
      <c r="E18">
        <v>573</v>
      </c>
    </row>
    <row r="19" spans="1:8" x14ac:dyDescent="0.35">
      <c r="A19" t="s">
        <v>228</v>
      </c>
      <c r="B19">
        <f>SUM(B14:B18)</f>
        <v>3248</v>
      </c>
      <c r="C19">
        <f>SUM(C14:C18)</f>
        <v>2861</v>
      </c>
      <c r="D19">
        <f>SUM(D14:D18)</f>
        <v>47</v>
      </c>
      <c r="E19">
        <f>SUM(E14:E18)</f>
        <v>573</v>
      </c>
      <c r="F19" s="39">
        <f>(C19-B19)/C19</f>
        <v>-0.1352673890248165</v>
      </c>
      <c r="G19" s="39">
        <f>(E19-C19)/E19</f>
        <v>-3.9930191972076789</v>
      </c>
      <c r="H19" t="s">
        <v>281</v>
      </c>
    </row>
    <row r="21" spans="1:8" x14ac:dyDescent="0.35">
      <c r="A21" t="s">
        <v>226</v>
      </c>
    </row>
    <row r="22" spans="1:8" x14ac:dyDescent="0.35">
      <c r="A22" t="s">
        <v>219</v>
      </c>
      <c r="C22">
        <v>736</v>
      </c>
    </row>
    <row r="23" spans="1:8" x14ac:dyDescent="0.35">
      <c r="A23" t="s">
        <v>220</v>
      </c>
      <c r="B23">
        <v>0</v>
      </c>
      <c r="C23">
        <v>0</v>
      </c>
      <c r="D23">
        <v>635</v>
      </c>
    </row>
    <row r="24" spans="1:8" x14ac:dyDescent="0.35">
      <c r="A24" t="s">
        <v>221</v>
      </c>
      <c r="B24">
        <v>1652</v>
      </c>
      <c r="C24">
        <v>1883</v>
      </c>
      <c r="D24">
        <v>1661</v>
      </c>
    </row>
    <row r="25" spans="1:8" x14ac:dyDescent="0.35">
      <c r="A25" t="s">
        <v>222</v>
      </c>
    </row>
    <row r="26" spans="1:8" x14ac:dyDescent="0.35">
      <c r="A26" t="s">
        <v>278</v>
      </c>
      <c r="B26">
        <v>178</v>
      </c>
      <c r="C26">
        <v>139</v>
      </c>
    </row>
    <row r="27" spans="1:8" x14ac:dyDescent="0.35">
      <c r="A27" t="s">
        <v>229</v>
      </c>
      <c r="B27">
        <f>SUM(B22:B26)</f>
        <v>1830</v>
      </c>
      <c r="C27">
        <f>SUM(C22:C26)</f>
        <v>2758</v>
      </c>
      <c r="D27">
        <f>SUM(D22:D26)</f>
        <v>2296</v>
      </c>
      <c r="F27" s="39">
        <f>(C27-B27)/C27</f>
        <v>0.33647570703408269</v>
      </c>
      <c r="G27" s="39">
        <f>(D27-C27)/D27</f>
        <v>-0.20121951219512196</v>
      </c>
    </row>
    <row r="29" spans="1:8" x14ac:dyDescent="0.35">
      <c r="A29" t="s">
        <v>224</v>
      </c>
    </row>
    <row r="30" spans="1:8" x14ac:dyDescent="0.35">
      <c r="A30" t="s">
        <v>219</v>
      </c>
      <c r="C30">
        <v>141</v>
      </c>
    </row>
    <row r="31" spans="1:8" x14ac:dyDescent="0.35">
      <c r="A31" t="s">
        <v>220</v>
      </c>
      <c r="B31" t="s">
        <v>147</v>
      </c>
      <c r="C31" t="s">
        <v>147</v>
      </c>
      <c r="H31" t="s">
        <v>147</v>
      </c>
    </row>
    <row r="32" spans="1:8" x14ac:dyDescent="0.35">
      <c r="A32" t="s">
        <v>221</v>
      </c>
      <c r="B32">
        <v>283</v>
      </c>
      <c r="C32">
        <v>280</v>
      </c>
    </row>
    <row r="33" spans="1:10" x14ac:dyDescent="0.35">
      <c r="A33" t="s">
        <v>222</v>
      </c>
      <c r="B33">
        <v>132</v>
      </c>
      <c r="C33">
        <v>166</v>
      </c>
      <c r="D33">
        <v>505</v>
      </c>
    </row>
    <row r="34" spans="1:10" x14ac:dyDescent="0.35">
      <c r="A34" t="s">
        <v>223</v>
      </c>
      <c r="B34">
        <v>3208</v>
      </c>
      <c r="C34">
        <v>1936</v>
      </c>
      <c r="D34">
        <v>1848</v>
      </c>
    </row>
    <row r="35" spans="1:10" x14ac:dyDescent="0.35">
      <c r="A35" t="s">
        <v>278</v>
      </c>
      <c r="B35">
        <v>512</v>
      </c>
    </row>
    <row r="36" spans="1:10" x14ac:dyDescent="0.35">
      <c r="A36" t="s">
        <v>230</v>
      </c>
      <c r="B36">
        <f>SUM(B30:B35)</f>
        <v>4135</v>
      </c>
      <c r="C36">
        <f>SUM(C30:C35)</f>
        <v>2523</v>
      </c>
      <c r="D36">
        <f>SUM(D30:D35)</f>
        <v>2353</v>
      </c>
      <c r="F36" s="39">
        <f>(C36-B36)/C36</f>
        <v>-0.63892191835116929</v>
      </c>
      <c r="G36" s="39">
        <f>(D36-C36)/D36</f>
        <v>-7.2248193795155125E-2</v>
      </c>
      <c r="J36" t="s">
        <v>147</v>
      </c>
    </row>
    <row r="37" spans="1:10" x14ac:dyDescent="0.35">
      <c r="J37" t="s">
        <v>147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3"/>
  <sheetViews>
    <sheetView topLeftCell="A23" workbookViewId="0">
      <selection activeCell="B44" sqref="B44"/>
    </sheetView>
  </sheetViews>
  <sheetFormatPr defaultRowHeight="14.5" x14ac:dyDescent="0.35"/>
  <cols>
    <col min="1" max="1" width="30" bestFit="1" customWidth="1"/>
    <col min="2" max="2" width="11.1796875" bestFit="1" customWidth="1"/>
  </cols>
  <sheetData>
    <row r="1" spans="1:2" x14ac:dyDescent="0.35">
      <c r="B1" t="s">
        <v>42</v>
      </c>
    </row>
    <row r="2" spans="1:2" x14ac:dyDescent="0.35">
      <c r="A2" t="s">
        <v>1</v>
      </c>
    </row>
    <row r="3" spans="1:2" x14ac:dyDescent="0.35">
      <c r="A3" t="s">
        <v>1</v>
      </c>
    </row>
    <row r="4" spans="1:2" x14ac:dyDescent="0.35">
      <c r="A4" t="s">
        <v>2</v>
      </c>
      <c r="B4">
        <v>16608</v>
      </c>
    </row>
    <row r="5" spans="1:2" x14ac:dyDescent="0.35">
      <c r="A5" t="s">
        <v>3</v>
      </c>
    </row>
    <row r="6" spans="1:2" x14ac:dyDescent="0.35">
      <c r="A6" t="s">
        <v>4</v>
      </c>
      <c r="B6">
        <v>3750</v>
      </c>
    </row>
    <row r="7" spans="1:2" x14ac:dyDescent="0.35">
      <c r="A7" t="s">
        <v>5</v>
      </c>
      <c r="B7">
        <v>2127</v>
      </c>
    </row>
    <row r="8" spans="1:2" x14ac:dyDescent="0.35">
      <c r="A8" t="s">
        <v>6</v>
      </c>
      <c r="B8">
        <v>5.99</v>
      </c>
    </row>
    <row r="9" spans="1:2" x14ac:dyDescent="0.35">
      <c r="A9" t="s">
        <v>7</v>
      </c>
      <c r="B9">
        <v>37339</v>
      </c>
    </row>
    <row r="10" spans="1:2" x14ac:dyDescent="0.35">
      <c r="A10" t="s">
        <v>8</v>
      </c>
      <c r="B10">
        <v>7285</v>
      </c>
    </row>
    <row r="11" spans="1:2" x14ac:dyDescent="0.35">
      <c r="A11" t="s">
        <v>3</v>
      </c>
      <c r="B11">
        <f>SUM(B4:B10)</f>
        <v>67114.990000000005</v>
      </c>
    </row>
    <row r="12" spans="1:2" x14ac:dyDescent="0.35">
      <c r="A12" t="s">
        <v>9</v>
      </c>
    </row>
    <row r="13" spans="1:2" x14ac:dyDescent="0.35">
      <c r="A13" t="s">
        <v>10</v>
      </c>
    </row>
    <row r="14" spans="1:2" x14ac:dyDescent="0.35">
      <c r="A14" t="s">
        <v>43</v>
      </c>
      <c r="B14" s="11">
        <v>440</v>
      </c>
    </row>
    <row r="15" spans="1:2" x14ac:dyDescent="0.35">
      <c r="A15" t="s">
        <v>12</v>
      </c>
      <c r="B15" t="s">
        <v>147</v>
      </c>
    </row>
    <row r="16" spans="1:2" x14ac:dyDescent="0.35">
      <c r="A16" t="s">
        <v>13</v>
      </c>
    </row>
    <row r="17" spans="1:2" x14ac:dyDescent="0.35">
      <c r="A17" t="s">
        <v>14</v>
      </c>
      <c r="B17" s="11">
        <v>1176.05</v>
      </c>
    </row>
    <row r="18" spans="1:2" x14ac:dyDescent="0.35">
      <c r="A18" t="s">
        <v>15</v>
      </c>
      <c r="B18" s="11">
        <v>50</v>
      </c>
    </row>
    <row r="19" spans="1:2" x14ac:dyDescent="0.35">
      <c r="A19" t="s">
        <v>16</v>
      </c>
      <c r="B19" s="11">
        <v>4290</v>
      </c>
    </row>
    <row r="20" spans="1:2" x14ac:dyDescent="0.35">
      <c r="A20" t="s">
        <v>17</v>
      </c>
      <c r="B20" t="s">
        <v>147</v>
      </c>
    </row>
    <row r="21" spans="1:2" x14ac:dyDescent="0.35">
      <c r="A21" t="s">
        <v>19</v>
      </c>
      <c r="B21" s="11">
        <v>87</v>
      </c>
    </row>
    <row r="22" spans="1:2" x14ac:dyDescent="0.35">
      <c r="A22" t="s">
        <v>20</v>
      </c>
      <c r="B22" s="11">
        <v>278.27999999999997</v>
      </c>
    </row>
    <row r="23" spans="1:2" x14ac:dyDescent="0.35">
      <c r="A23" t="s">
        <v>44</v>
      </c>
      <c r="B23" s="11">
        <v>320</v>
      </c>
    </row>
    <row r="24" spans="1:2" x14ac:dyDescent="0.35">
      <c r="A24" t="s">
        <v>21</v>
      </c>
      <c r="B24" s="11">
        <v>40</v>
      </c>
    </row>
    <row r="25" spans="1:2" x14ac:dyDescent="0.35">
      <c r="A25" t="s">
        <v>22</v>
      </c>
      <c r="B25">
        <v>422.4</v>
      </c>
    </row>
    <row r="26" spans="1:2" x14ac:dyDescent="0.35">
      <c r="A26" t="s">
        <v>23</v>
      </c>
      <c r="B26" s="11">
        <v>4177.95</v>
      </c>
    </row>
    <row r="27" spans="1:2" x14ac:dyDescent="0.35">
      <c r="A27" t="s">
        <v>24</v>
      </c>
      <c r="B27" s="11">
        <v>10875</v>
      </c>
    </row>
    <row r="28" spans="1:2" x14ac:dyDescent="0.35">
      <c r="A28" t="s">
        <v>25</v>
      </c>
      <c r="B28" s="11">
        <v>3348</v>
      </c>
    </row>
    <row r="29" spans="1:2" x14ac:dyDescent="0.35">
      <c r="A29" t="s">
        <v>27</v>
      </c>
      <c r="B29" s="11">
        <v>10299.5</v>
      </c>
    </row>
    <row r="30" spans="1:2" x14ac:dyDescent="0.35">
      <c r="A30" t="s">
        <v>28</v>
      </c>
      <c r="B30" s="11">
        <v>1386.23</v>
      </c>
    </row>
    <row r="31" spans="1:2" x14ac:dyDescent="0.35">
      <c r="A31" t="s">
        <v>29</v>
      </c>
      <c r="B31" s="11">
        <v>12050.25</v>
      </c>
    </row>
    <row r="32" spans="1:2" x14ac:dyDescent="0.35">
      <c r="A32" t="s">
        <v>30</v>
      </c>
    </row>
    <row r="33" spans="1:2" x14ac:dyDescent="0.35">
      <c r="A33" t="s">
        <v>31</v>
      </c>
      <c r="B33" s="11">
        <v>556.6</v>
      </c>
    </row>
    <row r="34" spans="1:2" x14ac:dyDescent="0.35">
      <c r="A34" t="s">
        <v>32</v>
      </c>
      <c r="B34" s="11">
        <v>5701.12</v>
      </c>
    </row>
    <row r="35" spans="1:2" x14ac:dyDescent="0.35">
      <c r="A35" t="s">
        <v>33</v>
      </c>
      <c r="B35" t="s">
        <v>147</v>
      </c>
    </row>
    <row r="36" spans="1:2" x14ac:dyDescent="0.35">
      <c r="A36" t="s">
        <v>34</v>
      </c>
      <c r="B36" s="11">
        <v>2000</v>
      </c>
    </row>
    <row r="37" spans="1:2" x14ac:dyDescent="0.35">
      <c r="A37" t="s">
        <v>35</v>
      </c>
    </row>
    <row r="38" spans="1:2" x14ac:dyDescent="0.35">
      <c r="A38" t="s">
        <v>45</v>
      </c>
      <c r="B38" s="11">
        <v>2218.5</v>
      </c>
    </row>
    <row r="39" spans="1:2" x14ac:dyDescent="0.35">
      <c r="A39" t="s">
        <v>37</v>
      </c>
    </row>
    <row r="40" spans="1:2" x14ac:dyDescent="0.35">
      <c r="A40" t="s">
        <v>39</v>
      </c>
      <c r="B40" s="11">
        <v>961.22</v>
      </c>
    </row>
    <row r="41" spans="1:2" x14ac:dyDescent="0.35">
      <c r="A41" t="s">
        <v>46</v>
      </c>
      <c r="B41" s="11">
        <v>780.59</v>
      </c>
    </row>
    <row r="42" spans="1:2" x14ac:dyDescent="0.35">
      <c r="A42" t="s">
        <v>40</v>
      </c>
      <c r="B42">
        <f>SUM(B13:B41)</f>
        <v>61458.69</v>
      </c>
    </row>
    <row r="43" spans="1:2" x14ac:dyDescent="0.35">
      <c r="A43" t="s">
        <v>41</v>
      </c>
      <c r="B43">
        <f>B11-B42</f>
        <v>5656.3000000000029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0"/>
  <sheetViews>
    <sheetView topLeftCell="A41" workbookViewId="0">
      <selection activeCell="C38" sqref="C38"/>
    </sheetView>
  </sheetViews>
  <sheetFormatPr defaultRowHeight="14.5" x14ac:dyDescent="0.35"/>
  <cols>
    <col min="1" max="1" width="30" bestFit="1" customWidth="1"/>
    <col min="2" max="2" width="11.1796875" bestFit="1" customWidth="1"/>
  </cols>
  <sheetData>
    <row r="1" spans="1:3" x14ac:dyDescent="0.35">
      <c r="B1" t="s">
        <v>47</v>
      </c>
    </row>
    <row r="2" spans="1:3" x14ac:dyDescent="0.35">
      <c r="A2" t="s">
        <v>1</v>
      </c>
    </row>
    <row r="3" spans="1:3" x14ac:dyDescent="0.35">
      <c r="A3" t="s">
        <v>1</v>
      </c>
    </row>
    <row r="4" spans="1:3" x14ac:dyDescent="0.35">
      <c r="A4" t="s">
        <v>2</v>
      </c>
      <c r="B4">
        <v>19030.2</v>
      </c>
    </row>
    <row r="5" spans="1:3" x14ac:dyDescent="0.35">
      <c r="A5" t="s">
        <v>3</v>
      </c>
    </row>
    <row r="6" spans="1:3" x14ac:dyDescent="0.35">
      <c r="A6" t="s">
        <v>4</v>
      </c>
      <c r="B6">
        <v>3450</v>
      </c>
    </row>
    <row r="7" spans="1:3" x14ac:dyDescent="0.35">
      <c r="A7" t="s">
        <v>5</v>
      </c>
      <c r="B7">
        <v>1711.5</v>
      </c>
    </row>
    <row r="8" spans="1:3" x14ac:dyDescent="0.35">
      <c r="A8" t="s">
        <v>6</v>
      </c>
      <c r="B8">
        <v>6.02</v>
      </c>
    </row>
    <row r="9" spans="1:3" x14ac:dyDescent="0.35">
      <c r="A9" t="s">
        <v>7</v>
      </c>
      <c r="B9">
        <v>30820</v>
      </c>
    </row>
    <row r="10" spans="1:3" x14ac:dyDescent="0.35">
      <c r="A10" t="s">
        <v>8</v>
      </c>
      <c r="B10">
        <v>7400</v>
      </c>
    </row>
    <row r="11" spans="1:3" x14ac:dyDescent="0.35">
      <c r="A11" t="s">
        <v>48</v>
      </c>
      <c r="B11">
        <v>508.37</v>
      </c>
    </row>
    <row r="12" spans="1:3" x14ac:dyDescent="0.35">
      <c r="A12" t="s">
        <v>49</v>
      </c>
      <c r="B12">
        <v>531.9</v>
      </c>
    </row>
    <row r="13" spans="1:3" x14ac:dyDescent="0.35">
      <c r="A13" t="s">
        <v>3</v>
      </c>
      <c r="B13">
        <f>SUM(B4:B12)</f>
        <v>63457.990000000005</v>
      </c>
      <c r="C13">
        <f>B13-B12-B6</f>
        <v>59476.090000000004</v>
      </c>
    </row>
    <row r="14" spans="1:3" x14ac:dyDescent="0.35">
      <c r="A14" t="s">
        <v>9</v>
      </c>
    </row>
    <row r="15" spans="1:3" x14ac:dyDescent="0.35">
      <c r="A15" t="s">
        <v>10</v>
      </c>
    </row>
    <row r="16" spans="1:3" x14ac:dyDescent="0.35">
      <c r="A16" t="s">
        <v>11</v>
      </c>
      <c r="B16" s="11">
        <v>246.15</v>
      </c>
    </row>
    <row r="17" spans="1:2" x14ac:dyDescent="0.35">
      <c r="A17" t="s">
        <v>12</v>
      </c>
    </row>
    <row r="18" spans="1:2" x14ac:dyDescent="0.35">
      <c r="A18" t="s">
        <v>13</v>
      </c>
    </row>
    <row r="19" spans="1:2" x14ac:dyDescent="0.35">
      <c r="A19" t="s">
        <v>15</v>
      </c>
      <c r="B19" s="11">
        <v>200</v>
      </c>
    </row>
    <row r="20" spans="1:2" x14ac:dyDescent="0.35">
      <c r="A20" t="s">
        <v>16</v>
      </c>
      <c r="B20" s="11">
        <v>15</v>
      </c>
    </row>
    <row r="21" spans="1:2" x14ac:dyDescent="0.35">
      <c r="A21" t="s">
        <v>17</v>
      </c>
    </row>
    <row r="22" spans="1:2" x14ac:dyDescent="0.35">
      <c r="A22" t="s">
        <v>50</v>
      </c>
    </row>
    <row r="23" spans="1:2" x14ac:dyDescent="0.35">
      <c r="A23" t="s">
        <v>51</v>
      </c>
      <c r="B23" s="11">
        <v>4717.5</v>
      </c>
    </row>
    <row r="24" spans="1:2" x14ac:dyDescent="0.35">
      <c r="A24" t="s">
        <v>52</v>
      </c>
      <c r="B24" s="11">
        <v>943.5</v>
      </c>
    </row>
    <row r="25" spans="1:2" x14ac:dyDescent="0.35">
      <c r="A25" t="s">
        <v>53</v>
      </c>
      <c r="B25" s="11">
        <v>1415.25</v>
      </c>
    </row>
    <row r="26" spans="1:2" x14ac:dyDescent="0.35">
      <c r="A26" t="s">
        <v>54</v>
      </c>
      <c r="B26" s="11">
        <v>1887</v>
      </c>
    </row>
    <row r="27" spans="1:2" x14ac:dyDescent="0.35">
      <c r="A27" t="s">
        <v>55</v>
      </c>
      <c r="B27" s="11">
        <v>200</v>
      </c>
    </row>
    <row r="28" spans="1:2" x14ac:dyDescent="0.35">
      <c r="A28" t="s">
        <v>56</v>
      </c>
      <c r="B28" s="11">
        <v>200</v>
      </c>
    </row>
    <row r="29" spans="1:2" x14ac:dyDescent="0.35">
      <c r="A29" t="s">
        <v>57</v>
      </c>
      <c r="B29" s="11">
        <v>2387</v>
      </c>
    </row>
    <row r="30" spans="1:2" x14ac:dyDescent="0.35">
      <c r="A30" t="s">
        <v>58</v>
      </c>
      <c r="B30" s="11">
        <v>2000</v>
      </c>
    </row>
    <row r="31" spans="1:2" x14ac:dyDescent="0.35">
      <c r="A31" t="s">
        <v>59</v>
      </c>
      <c r="B31" s="11">
        <v>500</v>
      </c>
    </row>
    <row r="32" spans="1:2" x14ac:dyDescent="0.35">
      <c r="A32" t="s">
        <v>60</v>
      </c>
      <c r="B32" s="11">
        <v>943.5</v>
      </c>
    </row>
    <row r="33" spans="1:2" x14ac:dyDescent="0.35">
      <c r="A33" t="s">
        <v>61</v>
      </c>
      <c r="B33" s="11">
        <v>300</v>
      </c>
    </row>
    <row r="34" spans="1:2" x14ac:dyDescent="0.35">
      <c r="A34" t="s">
        <v>62</v>
      </c>
    </row>
    <row r="35" spans="1:2" x14ac:dyDescent="0.35">
      <c r="A35" t="s">
        <v>18</v>
      </c>
      <c r="B35" s="11">
        <v>512.54999999999995</v>
      </c>
    </row>
    <row r="36" spans="1:2" x14ac:dyDescent="0.35">
      <c r="A36" t="s">
        <v>19</v>
      </c>
      <c r="B36" s="11">
        <v>145.19999999999999</v>
      </c>
    </row>
    <row r="37" spans="1:2" x14ac:dyDescent="0.35">
      <c r="A37" t="s">
        <v>63</v>
      </c>
      <c r="B37" s="11">
        <v>110</v>
      </c>
    </row>
    <row r="38" spans="1:2" x14ac:dyDescent="0.35">
      <c r="A38" t="s">
        <v>20</v>
      </c>
      <c r="B38" s="11">
        <v>680.32</v>
      </c>
    </row>
    <row r="39" spans="1:2" x14ac:dyDescent="0.35">
      <c r="A39" t="s">
        <v>44</v>
      </c>
      <c r="B39" s="11">
        <v>3450</v>
      </c>
    </row>
    <row r="40" spans="1:2" x14ac:dyDescent="0.35">
      <c r="A40" t="s">
        <v>22</v>
      </c>
      <c r="B40" s="11">
        <v>178.88</v>
      </c>
    </row>
    <row r="41" spans="1:2" x14ac:dyDescent="0.35">
      <c r="A41" t="s">
        <v>23</v>
      </c>
      <c r="B41" s="11">
        <v>13658.92</v>
      </c>
    </row>
    <row r="42" spans="1:2" x14ac:dyDescent="0.35">
      <c r="A42" t="s">
        <v>25</v>
      </c>
      <c r="B42" s="11">
        <v>3084</v>
      </c>
    </row>
    <row r="43" spans="1:2" x14ac:dyDescent="0.35">
      <c r="A43" t="s">
        <v>27</v>
      </c>
      <c r="B43" s="11">
        <v>13348.64</v>
      </c>
    </row>
    <row r="44" spans="1:2" x14ac:dyDescent="0.35">
      <c r="A44" t="s">
        <v>28</v>
      </c>
      <c r="B44" s="11">
        <v>753.16</v>
      </c>
    </row>
    <row r="45" spans="1:2" x14ac:dyDescent="0.35">
      <c r="A45" t="s">
        <v>30</v>
      </c>
    </row>
    <row r="46" spans="1:2" x14ac:dyDescent="0.35">
      <c r="A46" t="s">
        <v>64</v>
      </c>
      <c r="B46" s="11">
        <v>375</v>
      </c>
    </row>
    <row r="47" spans="1:2" x14ac:dyDescent="0.35">
      <c r="A47" t="s">
        <v>31</v>
      </c>
      <c r="B47" s="11">
        <v>856.5</v>
      </c>
    </row>
    <row r="48" spans="1:2" x14ac:dyDescent="0.35">
      <c r="A48" t="s">
        <v>65</v>
      </c>
      <c r="B48" s="11">
        <v>1507.35</v>
      </c>
    </row>
    <row r="49" spans="1:2" x14ac:dyDescent="0.35">
      <c r="A49" t="s">
        <v>66</v>
      </c>
      <c r="B49" s="11">
        <v>180</v>
      </c>
    </row>
    <row r="50" spans="1:2" x14ac:dyDescent="0.35">
      <c r="A50" t="s">
        <v>33</v>
      </c>
    </row>
    <row r="51" spans="1:2" x14ac:dyDescent="0.35">
      <c r="A51" t="s">
        <v>67</v>
      </c>
      <c r="B51" s="11">
        <v>3700</v>
      </c>
    </row>
    <row r="52" spans="1:2" x14ac:dyDescent="0.35">
      <c r="A52" t="s">
        <v>68</v>
      </c>
      <c r="B52" s="11">
        <v>4375</v>
      </c>
    </row>
    <row r="53" spans="1:2" x14ac:dyDescent="0.35">
      <c r="A53" t="s">
        <v>35</v>
      </c>
    </row>
    <row r="54" spans="1:2" x14ac:dyDescent="0.35">
      <c r="A54" t="s">
        <v>45</v>
      </c>
      <c r="B54" s="11">
        <v>1529.5</v>
      </c>
    </row>
    <row r="55" spans="1:2" x14ac:dyDescent="0.35">
      <c r="A55" t="s">
        <v>69</v>
      </c>
      <c r="B55" s="11">
        <v>692.08</v>
      </c>
    </row>
    <row r="56" spans="1:2" x14ac:dyDescent="0.35">
      <c r="A56" t="s">
        <v>37</v>
      </c>
      <c r="B56" s="11" t="s">
        <v>147</v>
      </c>
    </row>
    <row r="57" spans="1:2" x14ac:dyDescent="0.35">
      <c r="A57" t="s">
        <v>39</v>
      </c>
      <c r="B57" s="11">
        <v>693.71</v>
      </c>
    </row>
    <row r="58" spans="1:2" x14ac:dyDescent="0.35">
      <c r="A58" t="s">
        <v>46</v>
      </c>
      <c r="B58" s="11">
        <v>548.58000000000004</v>
      </c>
    </row>
    <row r="59" spans="1:2" x14ac:dyDescent="0.35">
      <c r="A59" t="s">
        <v>40</v>
      </c>
      <c r="B59">
        <f>SUM(B16:B58)</f>
        <v>66334.290000000008</v>
      </c>
    </row>
    <row r="60" spans="1:2" x14ac:dyDescent="0.35">
      <c r="A60" t="s">
        <v>41</v>
      </c>
      <c r="B60">
        <f>B13-B59</f>
        <v>-2876.3000000000029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72"/>
  <sheetViews>
    <sheetView topLeftCell="A27" workbookViewId="0">
      <selection activeCell="B67" sqref="B67"/>
    </sheetView>
  </sheetViews>
  <sheetFormatPr defaultRowHeight="14.5" x14ac:dyDescent="0.35"/>
  <cols>
    <col min="1" max="1" width="30" bestFit="1" customWidth="1"/>
    <col min="2" max="2" width="15.6328125" bestFit="1" customWidth="1"/>
  </cols>
  <sheetData>
    <row r="1" spans="1:2" x14ac:dyDescent="0.35">
      <c r="B1" t="s">
        <v>70</v>
      </c>
    </row>
    <row r="2" spans="1:2" x14ac:dyDescent="0.35">
      <c r="A2" t="s">
        <v>1</v>
      </c>
    </row>
    <row r="3" spans="1:2" x14ac:dyDescent="0.35">
      <c r="A3" t="s">
        <v>1</v>
      </c>
    </row>
    <row r="4" spans="1:2" x14ac:dyDescent="0.35">
      <c r="A4" t="s">
        <v>2</v>
      </c>
      <c r="B4">
        <v>19045</v>
      </c>
    </row>
    <row r="5" spans="1:2" x14ac:dyDescent="0.35">
      <c r="A5" t="s">
        <v>3</v>
      </c>
    </row>
    <row r="6" spans="1:2" x14ac:dyDescent="0.35">
      <c r="A6" t="s">
        <v>4</v>
      </c>
      <c r="B6">
        <v>3320</v>
      </c>
    </row>
    <row r="7" spans="1:2" x14ac:dyDescent="0.35">
      <c r="A7" t="s">
        <v>5</v>
      </c>
      <c r="B7">
        <v>2006</v>
      </c>
    </row>
    <row r="8" spans="1:2" x14ac:dyDescent="0.35">
      <c r="A8" t="s">
        <v>71</v>
      </c>
      <c r="B8">
        <v>-150</v>
      </c>
    </row>
    <row r="9" spans="1:2" x14ac:dyDescent="0.35">
      <c r="A9" t="s">
        <v>6</v>
      </c>
      <c r="B9">
        <v>3.68</v>
      </c>
    </row>
    <row r="10" spans="1:2" x14ac:dyDescent="0.35">
      <c r="A10" t="s">
        <v>7</v>
      </c>
      <c r="B10">
        <v>30405.5</v>
      </c>
    </row>
    <row r="11" spans="1:2" x14ac:dyDescent="0.35">
      <c r="A11" t="s">
        <v>8</v>
      </c>
      <c r="B11">
        <v>4073.49</v>
      </c>
    </row>
    <row r="12" spans="1:2" x14ac:dyDescent="0.35">
      <c r="A12" t="s">
        <v>48</v>
      </c>
      <c r="B12">
        <v>-75</v>
      </c>
    </row>
    <row r="13" spans="1:2" x14ac:dyDescent="0.35">
      <c r="A13" t="s">
        <v>49</v>
      </c>
      <c r="B13">
        <v>331.9</v>
      </c>
    </row>
    <row r="14" spans="1:2" x14ac:dyDescent="0.35">
      <c r="A14" t="s">
        <v>3</v>
      </c>
      <c r="B14">
        <f>SUM(B4:B13)</f>
        <v>58960.57</v>
      </c>
    </row>
    <row r="15" spans="1:2" x14ac:dyDescent="0.35">
      <c r="A15" t="s">
        <v>9</v>
      </c>
    </row>
    <row r="16" spans="1:2" x14ac:dyDescent="0.35">
      <c r="A16" t="s">
        <v>10</v>
      </c>
    </row>
    <row r="17" spans="1:2" x14ac:dyDescent="0.35">
      <c r="A17" t="s">
        <v>11</v>
      </c>
      <c r="B17" s="11">
        <v>240.48</v>
      </c>
    </row>
    <row r="18" spans="1:2" x14ac:dyDescent="0.35">
      <c r="A18" t="s">
        <v>12</v>
      </c>
    </row>
    <row r="19" spans="1:2" x14ac:dyDescent="0.35">
      <c r="A19" t="s">
        <v>13</v>
      </c>
    </row>
    <row r="20" spans="1:2" x14ac:dyDescent="0.35">
      <c r="A20" t="s">
        <v>14</v>
      </c>
      <c r="B20" s="11">
        <v>1253.73</v>
      </c>
    </row>
    <row r="21" spans="1:2" x14ac:dyDescent="0.35">
      <c r="A21" t="s">
        <v>15</v>
      </c>
      <c r="B21" s="11">
        <v>85.85</v>
      </c>
    </row>
    <row r="22" spans="1:2" x14ac:dyDescent="0.35">
      <c r="A22" t="s">
        <v>16</v>
      </c>
      <c r="B22" s="11">
        <v>4340</v>
      </c>
    </row>
    <row r="23" spans="1:2" x14ac:dyDescent="0.35">
      <c r="A23" t="s">
        <v>17</v>
      </c>
    </row>
    <row r="24" spans="1:2" x14ac:dyDescent="0.35">
      <c r="A24" t="s">
        <v>72</v>
      </c>
      <c r="B24" s="11">
        <v>-96.99</v>
      </c>
    </row>
    <row r="25" spans="1:2" x14ac:dyDescent="0.35">
      <c r="A25" t="s">
        <v>73</v>
      </c>
      <c r="B25" s="11">
        <v>4.62</v>
      </c>
    </row>
    <row r="26" spans="1:2" x14ac:dyDescent="0.35">
      <c r="A26" t="s">
        <v>74</v>
      </c>
      <c r="B26" s="11">
        <v>237.48</v>
      </c>
    </row>
    <row r="27" spans="1:2" x14ac:dyDescent="0.35">
      <c r="A27" t="s">
        <v>50</v>
      </c>
    </row>
    <row r="28" spans="1:2" x14ac:dyDescent="0.35">
      <c r="A28" t="s">
        <v>51</v>
      </c>
      <c r="B28" s="11">
        <v>4617.5</v>
      </c>
    </row>
    <row r="29" spans="1:2" x14ac:dyDescent="0.35">
      <c r="A29" t="s">
        <v>52</v>
      </c>
      <c r="B29" s="11">
        <v>1000</v>
      </c>
    </row>
    <row r="30" spans="1:2" x14ac:dyDescent="0.35">
      <c r="A30" t="s">
        <v>53</v>
      </c>
      <c r="B30" s="11">
        <v>500</v>
      </c>
    </row>
    <row r="31" spans="1:2" x14ac:dyDescent="0.35">
      <c r="A31" t="s">
        <v>54</v>
      </c>
      <c r="B31" s="11">
        <v>1847</v>
      </c>
    </row>
    <row r="32" spans="1:2" x14ac:dyDescent="0.35">
      <c r="A32" t="s">
        <v>75</v>
      </c>
      <c r="B32" s="11">
        <v>923.5</v>
      </c>
    </row>
    <row r="33" spans="1:2" x14ac:dyDescent="0.35">
      <c r="A33" t="s">
        <v>76</v>
      </c>
      <c r="B33" s="11">
        <v>300</v>
      </c>
    </row>
    <row r="34" spans="1:2" x14ac:dyDescent="0.35">
      <c r="A34" t="s">
        <v>56</v>
      </c>
      <c r="B34" s="11">
        <v>108.2</v>
      </c>
    </row>
    <row r="35" spans="1:2" x14ac:dyDescent="0.35">
      <c r="A35" t="s">
        <v>57</v>
      </c>
      <c r="B35" s="11">
        <v>2347</v>
      </c>
    </row>
    <row r="36" spans="1:2" x14ac:dyDescent="0.35">
      <c r="A36" t="s">
        <v>77</v>
      </c>
      <c r="B36" s="11">
        <v>1867</v>
      </c>
    </row>
    <row r="37" spans="1:2" x14ac:dyDescent="0.35">
      <c r="A37" t="s">
        <v>58</v>
      </c>
      <c r="B37" s="11">
        <v>2000</v>
      </c>
    </row>
    <row r="38" spans="1:2" x14ac:dyDescent="0.35">
      <c r="A38" t="s">
        <v>59</v>
      </c>
      <c r="B38" s="11">
        <v>500</v>
      </c>
    </row>
    <row r="39" spans="1:2" x14ac:dyDescent="0.35">
      <c r="A39" t="s">
        <v>78</v>
      </c>
      <c r="B39" s="11">
        <v>885.25</v>
      </c>
    </row>
    <row r="40" spans="1:2" x14ac:dyDescent="0.35">
      <c r="A40" t="s">
        <v>79</v>
      </c>
      <c r="B40" s="11">
        <v>200</v>
      </c>
    </row>
    <row r="41" spans="1:2" x14ac:dyDescent="0.35">
      <c r="A41" t="s">
        <v>62</v>
      </c>
      <c r="B41" t="s">
        <v>147</v>
      </c>
    </row>
    <row r="42" spans="1:2" x14ac:dyDescent="0.35">
      <c r="A42" t="s">
        <v>19</v>
      </c>
      <c r="B42" s="11">
        <v>99</v>
      </c>
    </row>
    <row r="43" spans="1:2" x14ac:dyDescent="0.35">
      <c r="A43" t="s">
        <v>44</v>
      </c>
      <c r="B43" s="11">
        <v>259.99</v>
      </c>
    </row>
    <row r="44" spans="1:2" x14ac:dyDescent="0.35">
      <c r="A44" t="s">
        <v>21</v>
      </c>
      <c r="B44" s="11">
        <v>20</v>
      </c>
    </row>
    <row r="45" spans="1:2" x14ac:dyDescent="0.35">
      <c r="A45" t="s">
        <v>22</v>
      </c>
      <c r="B45" s="11">
        <v>116.63</v>
      </c>
    </row>
    <row r="46" spans="1:2" x14ac:dyDescent="0.35">
      <c r="A46" t="s">
        <v>23</v>
      </c>
      <c r="B46" s="11">
        <v>5166.04</v>
      </c>
    </row>
    <row r="47" spans="1:2" x14ac:dyDescent="0.35">
      <c r="A47" t="s">
        <v>25</v>
      </c>
      <c r="B47" s="11">
        <v>3555</v>
      </c>
    </row>
    <row r="48" spans="1:2" x14ac:dyDescent="0.35">
      <c r="A48" t="s">
        <v>80</v>
      </c>
      <c r="B48">
        <v>-0.64</v>
      </c>
    </row>
    <row r="49" spans="1:2" x14ac:dyDescent="0.35">
      <c r="A49" t="s">
        <v>81</v>
      </c>
      <c r="B49" s="11">
        <v>740</v>
      </c>
    </row>
    <row r="50" spans="1:2" x14ac:dyDescent="0.35">
      <c r="A50" t="s">
        <v>26</v>
      </c>
      <c r="B50" s="11">
        <v>399.85</v>
      </c>
    </row>
    <row r="51" spans="1:2" x14ac:dyDescent="0.35">
      <c r="A51" t="s">
        <v>27</v>
      </c>
      <c r="B51" s="11">
        <v>25766.47</v>
      </c>
    </row>
    <row r="52" spans="1:2" x14ac:dyDescent="0.35">
      <c r="A52" t="s">
        <v>28</v>
      </c>
      <c r="B52" s="11">
        <v>751.38</v>
      </c>
    </row>
    <row r="53" spans="1:2" x14ac:dyDescent="0.35">
      <c r="A53" t="s">
        <v>30</v>
      </c>
    </row>
    <row r="54" spans="1:2" x14ac:dyDescent="0.35">
      <c r="A54" t="s">
        <v>64</v>
      </c>
      <c r="B54" s="11">
        <v>375</v>
      </c>
    </row>
    <row r="55" spans="1:2" x14ac:dyDescent="0.35">
      <c r="A55" t="s">
        <v>31</v>
      </c>
      <c r="B55" s="11">
        <v>345</v>
      </c>
    </row>
    <row r="56" spans="1:2" x14ac:dyDescent="0.35">
      <c r="A56" t="s">
        <v>65</v>
      </c>
      <c r="B56" s="11">
        <v>1318.4</v>
      </c>
    </row>
    <row r="57" spans="1:2" x14ac:dyDescent="0.35">
      <c r="A57" t="s">
        <v>33</v>
      </c>
    </row>
    <row r="58" spans="1:2" x14ac:dyDescent="0.35">
      <c r="A58" t="s">
        <v>67</v>
      </c>
      <c r="B58" s="11">
        <v>3200</v>
      </c>
    </row>
    <row r="59" spans="1:2" x14ac:dyDescent="0.35">
      <c r="A59" t="s">
        <v>68</v>
      </c>
    </row>
    <row r="60" spans="1:2" x14ac:dyDescent="0.35">
      <c r="A60" t="s">
        <v>82</v>
      </c>
      <c r="B60" s="11">
        <v>2075</v>
      </c>
    </row>
    <row r="61" spans="1:2" x14ac:dyDescent="0.35">
      <c r="A61" t="s">
        <v>83</v>
      </c>
      <c r="B61" s="11">
        <v>225</v>
      </c>
    </row>
    <row r="62" spans="1:2" x14ac:dyDescent="0.35">
      <c r="A62" t="s">
        <v>84</v>
      </c>
      <c r="B62" s="11">
        <v>4725</v>
      </c>
    </row>
    <row r="63" spans="1:2" x14ac:dyDescent="0.35">
      <c r="A63" t="s">
        <v>85</v>
      </c>
    </row>
    <row r="64" spans="1:2" x14ac:dyDescent="0.35">
      <c r="A64" t="s">
        <v>86</v>
      </c>
      <c r="B64" s="11">
        <v>703</v>
      </c>
    </row>
    <row r="65" spans="1:2" x14ac:dyDescent="0.35">
      <c r="A65" t="s">
        <v>35</v>
      </c>
    </row>
    <row r="66" spans="1:2" x14ac:dyDescent="0.35">
      <c r="A66" t="s">
        <v>36</v>
      </c>
      <c r="B66" s="11">
        <v>1795.5</v>
      </c>
    </row>
    <row r="67" spans="1:2" x14ac:dyDescent="0.35">
      <c r="A67" t="s">
        <v>69</v>
      </c>
      <c r="B67" s="11">
        <v>-303.5</v>
      </c>
    </row>
    <row r="68" spans="1:2" x14ac:dyDescent="0.35">
      <c r="A68" t="s">
        <v>37</v>
      </c>
    </row>
    <row r="69" spans="1:2" x14ac:dyDescent="0.35">
      <c r="A69" t="s">
        <v>39</v>
      </c>
      <c r="B69" s="11">
        <v>527.71</v>
      </c>
    </row>
    <row r="70" spans="1:2" x14ac:dyDescent="0.35">
      <c r="A70" t="s">
        <v>46</v>
      </c>
      <c r="B70" s="11">
        <v>125.11</v>
      </c>
    </row>
    <row r="71" spans="1:2" x14ac:dyDescent="0.35">
      <c r="A71" t="s">
        <v>40</v>
      </c>
      <c r="B71">
        <f>SUM(B16:B70)</f>
        <v>75145.56</v>
      </c>
    </row>
    <row r="72" spans="1:2" x14ac:dyDescent="0.35">
      <c r="A72" t="s">
        <v>41</v>
      </c>
      <c r="B72">
        <f>B14-B71</f>
        <v>-16184.989999999998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6"/>
  <sheetViews>
    <sheetView workbookViewId="0">
      <selection activeCell="E12" sqref="E12"/>
    </sheetView>
  </sheetViews>
  <sheetFormatPr defaultRowHeight="14.5" x14ac:dyDescent="0.35"/>
  <cols>
    <col min="1" max="1" width="31.453125" bestFit="1" customWidth="1"/>
    <col min="2" max="2" width="15.6328125" bestFit="1" customWidth="1"/>
  </cols>
  <sheetData>
    <row r="1" spans="1:8" x14ac:dyDescent="0.35">
      <c r="B1" t="s">
        <v>87</v>
      </c>
      <c r="C1" t="s">
        <v>156</v>
      </c>
      <c r="D1" t="s">
        <v>157</v>
      </c>
      <c r="H1" t="s">
        <v>166</v>
      </c>
    </row>
    <row r="2" spans="1:8" x14ac:dyDescent="0.35">
      <c r="A2" t="s">
        <v>1</v>
      </c>
    </row>
    <row r="3" spans="1:8" x14ac:dyDescent="0.35">
      <c r="A3" t="s">
        <v>1</v>
      </c>
    </row>
    <row r="4" spans="1:8" x14ac:dyDescent="0.35">
      <c r="A4" t="s">
        <v>2</v>
      </c>
    </row>
    <row r="5" spans="1:8" x14ac:dyDescent="0.35">
      <c r="A5" t="s">
        <v>88</v>
      </c>
      <c r="B5">
        <v>3974</v>
      </c>
      <c r="C5" s="13">
        <v>18731.2</v>
      </c>
      <c r="D5">
        <f>B5+C5</f>
        <v>22705.200000000001</v>
      </c>
    </row>
    <row r="6" spans="1:8" x14ac:dyDescent="0.35">
      <c r="A6" t="s">
        <v>89</v>
      </c>
      <c r="B6">
        <v>44378.98</v>
      </c>
      <c r="C6">
        <v>-44378.98</v>
      </c>
      <c r="D6">
        <f>B6+C6</f>
        <v>0</v>
      </c>
    </row>
    <row r="7" spans="1:8" x14ac:dyDescent="0.35">
      <c r="A7" t="s">
        <v>90</v>
      </c>
      <c r="D7">
        <f t="shared" ref="D7:D11" si="0">B7+C7</f>
        <v>0</v>
      </c>
    </row>
    <row r="8" spans="1:8" ht="15" thickBot="1" x14ac:dyDescent="0.4">
      <c r="A8" t="s">
        <v>91</v>
      </c>
      <c r="B8" s="20">
        <v>5896</v>
      </c>
      <c r="D8">
        <f t="shared" si="0"/>
        <v>5896</v>
      </c>
    </row>
    <row r="9" spans="1:8" x14ac:dyDescent="0.35">
      <c r="A9" t="s">
        <v>3</v>
      </c>
      <c r="D9">
        <f t="shared" si="0"/>
        <v>0</v>
      </c>
    </row>
    <row r="10" spans="1:8" x14ac:dyDescent="0.35">
      <c r="A10" t="s">
        <v>92</v>
      </c>
      <c r="B10">
        <v>2465</v>
      </c>
      <c r="D10">
        <f t="shared" si="0"/>
        <v>2465</v>
      </c>
    </row>
    <row r="11" spans="1:8" x14ac:dyDescent="0.35">
      <c r="A11" t="s">
        <v>71</v>
      </c>
      <c r="B11">
        <v>-800</v>
      </c>
      <c r="D11">
        <f t="shared" si="0"/>
        <v>-800</v>
      </c>
    </row>
    <row r="12" spans="1:8" x14ac:dyDescent="0.35">
      <c r="A12" t="s">
        <v>7</v>
      </c>
      <c r="B12">
        <v>7650</v>
      </c>
      <c r="C12" s="12">
        <f>21161.84+4485.92</f>
        <v>25647.760000000002</v>
      </c>
      <c r="D12">
        <f>B12+C12</f>
        <v>33297.760000000002</v>
      </c>
    </row>
    <row r="13" spans="1:8" x14ac:dyDescent="0.35">
      <c r="A13" t="s">
        <v>108</v>
      </c>
      <c r="B13">
        <v>5375</v>
      </c>
      <c r="D13">
        <f>B13+C13</f>
        <v>5375</v>
      </c>
    </row>
    <row r="14" spans="1:8" x14ac:dyDescent="0.35">
      <c r="A14" t="s">
        <v>3</v>
      </c>
      <c r="B14">
        <f>SUM(B5:B13)</f>
        <v>68938.98000000001</v>
      </c>
      <c r="D14">
        <f>SUM(D5:D13)</f>
        <v>68938.960000000006</v>
      </c>
    </row>
    <row r="16" spans="1:8" x14ac:dyDescent="0.35">
      <c r="A16" t="s">
        <v>9</v>
      </c>
    </row>
    <row r="17" spans="1:4" x14ac:dyDescent="0.35">
      <c r="A17" t="s">
        <v>93</v>
      </c>
      <c r="B17">
        <v>2025</v>
      </c>
      <c r="D17" s="11">
        <f t="shared" ref="D17:D79" si="1">B17+C17</f>
        <v>2025</v>
      </c>
    </row>
    <row r="18" spans="1:4" x14ac:dyDescent="0.35">
      <c r="A18" t="s">
        <v>10</v>
      </c>
      <c r="D18" s="11">
        <f t="shared" si="1"/>
        <v>0</v>
      </c>
    </row>
    <row r="19" spans="1:4" x14ac:dyDescent="0.35">
      <c r="A19" t="s">
        <v>94</v>
      </c>
      <c r="B19">
        <v>80</v>
      </c>
      <c r="D19" s="11">
        <f t="shared" si="1"/>
        <v>80</v>
      </c>
    </row>
    <row r="20" spans="1:4" x14ac:dyDescent="0.35">
      <c r="A20" t="s">
        <v>95</v>
      </c>
      <c r="B20">
        <v>27</v>
      </c>
      <c r="D20" s="11">
        <f t="shared" si="1"/>
        <v>27</v>
      </c>
    </row>
    <row r="21" spans="1:4" x14ac:dyDescent="0.35">
      <c r="A21" t="s">
        <v>11</v>
      </c>
      <c r="B21">
        <v>100</v>
      </c>
      <c r="D21" s="11">
        <f t="shared" si="1"/>
        <v>100</v>
      </c>
    </row>
    <row r="22" spans="1:4" x14ac:dyDescent="0.35">
      <c r="A22" t="s">
        <v>96</v>
      </c>
      <c r="B22">
        <v>35</v>
      </c>
      <c r="D22" s="11">
        <f t="shared" si="1"/>
        <v>35</v>
      </c>
    </row>
    <row r="23" spans="1:4" x14ac:dyDescent="0.35">
      <c r="A23" t="s">
        <v>12</v>
      </c>
      <c r="B23" t="s">
        <v>147</v>
      </c>
    </row>
    <row r="24" spans="1:4" x14ac:dyDescent="0.35">
      <c r="A24" t="s">
        <v>13</v>
      </c>
      <c r="D24">
        <f t="shared" si="1"/>
        <v>0</v>
      </c>
    </row>
    <row r="25" spans="1:4" x14ac:dyDescent="0.35">
      <c r="A25" t="s">
        <v>97</v>
      </c>
      <c r="B25">
        <v>128</v>
      </c>
      <c r="D25" s="11">
        <f t="shared" si="1"/>
        <v>128</v>
      </c>
    </row>
    <row r="26" spans="1:4" x14ac:dyDescent="0.35">
      <c r="A26" t="s">
        <v>98</v>
      </c>
      <c r="B26">
        <v>720</v>
      </c>
      <c r="D26" s="11">
        <f t="shared" si="1"/>
        <v>720</v>
      </c>
    </row>
    <row r="27" spans="1:4" x14ac:dyDescent="0.35">
      <c r="A27" t="s">
        <v>99</v>
      </c>
      <c r="B27">
        <v>127.31</v>
      </c>
      <c r="D27" s="11">
        <f t="shared" si="1"/>
        <v>127.31</v>
      </c>
    </row>
    <row r="28" spans="1:4" x14ac:dyDescent="0.35">
      <c r="A28" t="s">
        <v>100</v>
      </c>
      <c r="B28">
        <v>2904</v>
      </c>
      <c r="D28" s="11">
        <f t="shared" si="1"/>
        <v>2904</v>
      </c>
    </row>
    <row r="29" spans="1:4" x14ac:dyDescent="0.35">
      <c r="A29" t="s">
        <v>101</v>
      </c>
      <c r="B29">
        <v>51.94</v>
      </c>
      <c r="D29" s="11">
        <f t="shared" si="1"/>
        <v>51.94</v>
      </c>
    </row>
    <row r="30" spans="1:4" x14ac:dyDescent="0.35">
      <c r="A30" t="s">
        <v>102</v>
      </c>
      <c r="B30">
        <v>471.83</v>
      </c>
      <c r="D30" s="11">
        <f t="shared" si="1"/>
        <v>471.83</v>
      </c>
    </row>
    <row r="31" spans="1:4" x14ac:dyDescent="0.35">
      <c r="A31" t="s">
        <v>103</v>
      </c>
      <c r="B31">
        <v>215.12</v>
      </c>
      <c r="D31" s="11">
        <f t="shared" si="1"/>
        <v>215.12</v>
      </c>
    </row>
    <row r="32" spans="1:4" x14ac:dyDescent="0.35">
      <c r="A32" t="s">
        <v>104</v>
      </c>
      <c r="B32">
        <v>584.29999999999995</v>
      </c>
      <c r="D32" s="11">
        <f t="shared" si="1"/>
        <v>584.29999999999995</v>
      </c>
    </row>
    <row r="33" spans="1:4" x14ac:dyDescent="0.35">
      <c r="A33" t="s">
        <v>105</v>
      </c>
      <c r="B33">
        <v>145</v>
      </c>
      <c r="D33" s="11">
        <f t="shared" si="1"/>
        <v>145</v>
      </c>
    </row>
    <row r="34" spans="1:4" x14ac:dyDescent="0.35">
      <c r="A34" t="s">
        <v>55</v>
      </c>
      <c r="B34">
        <v>1750</v>
      </c>
      <c r="D34" s="11">
        <f t="shared" si="1"/>
        <v>1750</v>
      </c>
    </row>
    <row r="35" spans="1:4" x14ac:dyDescent="0.35">
      <c r="A35" t="s">
        <v>106</v>
      </c>
      <c r="B35">
        <v>143.03</v>
      </c>
      <c r="D35" s="11">
        <f t="shared" si="1"/>
        <v>143.03</v>
      </c>
    </row>
    <row r="36" spans="1:4" x14ac:dyDescent="0.35">
      <c r="A36" t="s">
        <v>107</v>
      </c>
      <c r="B36">
        <v>358.95</v>
      </c>
      <c r="D36" s="11">
        <f t="shared" si="1"/>
        <v>358.95</v>
      </c>
    </row>
    <row r="37" spans="1:4" x14ac:dyDescent="0.35">
      <c r="A37" t="s">
        <v>17</v>
      </c>
      <c r="B37" t="s">
        <v>147</v>
      </c>
      <c r="D37" t="s">
        <v>147</v>
      </c>
    </row>
    <row r="38" spans="1:4" x14ac:dyDescent="0.35">
      <c r="A38" t="s">
        <v>73</v>
      </c>
      <c r="B38">
        <v>1492.25</v>
      </c>
      <c r="D38" s="11">
        <f t="shared" si="1"/>
        <v>1492.25</v>
      </c>
    </row>
    <row r="39" spans="1:4" x14ac:dyDescent="0.35">
      <c r="A39" t="s">
        <v>50</v>
      </c>
      <c r="D39">
        <f t="shared" si="1"/>
        <v>0</v>
      </c>
    </row>
    <row r="40" spans="1:4" x14ac:dyDescent="0.35">
      <c r="A40" t="s">
        <v>109</v>
      </c>
      <c r="B40" s="21">
        <v>500</v>
      </c>
      <c r="D40" s="11">
        <f t="shared" si="1"/>
        <v>500</v>
      </c>
    </row>
    <row r="41" spans="1:4" x14ac:dyDescent="0.35">
      <c r="A41" t="s">
        <v>51</v>
      </c>
      <c r="B41">
        <v>5000</v>
      </c>
      <c r="D41" s="11">
        <f t="shared" si="1"/>
        <v>5000</v>
      </c>
    </row>
    <row r="42" spans="1:4" x14ac:dyDescent="0.35">
      <c r="A42" t="s">
        <v>53</v>
      </c>
      <c r="B42">
        <v>500</v>
      </c>
      <c r="D42" s="11">
        <f t="shared" si="1"/>
        <v>500</v>
      </c>
    </row>
    <row r="43" spans="1:4" x14ac:dyDescent="0.35">
      <c r="A43" t="s">
        <v>54</v>
      </c>
      <c r="B43">
        <v>2000</v>
      </c>
      <c r="D43" s="11">
        <f t="shared" si="1"/>
        <v>2000</v>
      </c>
    </row>
    <row r="44" spans="1:4" x14ac:dyDescent="0.35">
      <c r="A44" t="s">
        <v>75</v>
      </c>
      <c r="B44">
        <v>1000</v>
      </c>
      <c r="D44" s="11">
        <f t="shared" si="1"/>
        <v>1000</v>
      </c>
    </row>
    <row r="45" spans="1:4" x14ac:dyDescent="0.35">
      <c r="A45" t="s">
        <v>76</v>
      </c>
      <c r="B45">
        <v>300</v>
      </c>
      <c r="D45" s="11">
        <f t="shared" si="1"/>
        <v>300</v>
      </c>
    </row>
    <row r="46" spans="1:4" x14ac:dyDescent="0.35">
      <c r="A46" t="s">
        <v>56</v>
      </c>
      <c r="B46">
        <v>200</v>
      </c>
      <c r="D46" s="11">
        <f t="shared" si="1"/>
        <v>200</v>
      </c>
    </row>
    <row r="47" spans="1:4" x14ac:dyDescent="0.35">
      <c r="A47" t="s">
        <v>57</v>
      </c>
      <c r="B47">
        <v>2000</v>
      </c>
      <c r="D47" s="11">
        <f t="shared" si="1"/>
        <v>2000</v>
      </c>
    </row>
    <row r="48" spans="1:4" x14ac:dyDescent="0.35">
      <c r="A48" t="s">
        <v>77</v>
      </c>
      <c r="B48">
        <v>1000</v>
      </c>
      <c r="D48" s="11">
        <f t="shared" si="1"/>
        <v>1000</v>
      </c>
    </row>
    <row r="49" spans="1:4" x14ac:dyDescent="0.35">
      <c r="A49" t="s">
        <v>58</v>
      </c>
      <c r="B49">
        <v>2000</v>
      </c>
      <c r="D49" s="11">
        <f t="shared" si="1"/>
        <v>2000</v>
      </c>
    </row>
    <row r="50" spans="1:4" x14ac:dyDescent="0.35">
      <c r="A50" t="s">
        <v>59</v>
      </c>
      <c r="B50">
        <v>500</v>
      </c>
      <c r="D50" s="11">
        <f t="shared" si="1"/>
        <v>500</v>
      </c>
    </row>
    <row r="51" spans="1:4" x14ac:dyDescent="0.35">
      <c r="A51" t="s">
        <v>78</v>
      </c>
      <c r="B51">
        <v>1000</v>
      </c>
      <c r="D51" s="11">
        <f t="shared" si="1"/>
        <v>1000</v>
      </c>
    </row>
    <row r="52" spans="1:4" x14ac:dyDescent="0.35">
      <c r="A52" t="s">
        <v>79</v>
      </c>
      <c r="B52">
        <v>100</v>
      </c>
      <c r="D52" s="11">
        <f t="shared" si="1"/>
        <v>100</v>
      </c>
    </row>
    <row r="53" spans="1:4" x14ac:dyDescent="0.35">
      <c r="A53" t="s">
        <v>62</v>
      </c>
      <c r="B53" t="s">
        <v>147</v>
      </c>
      <c r="D53" t="s">
        <v>147</v>
      </c>
    </row>
    <row r="54" spans="1:4" x14ac:dyDescent="0.35">
      <c r="A54" t="s">
        <v>18</v>
      </c>
      <c r="B54">
        <v>649.29999999999995</v>
      </c>
      <c r="D54" s="11">
        <f t="shared" si="1"/>
        <v>649.29999999999995</v>
      </c>
    </row>
    <row r="55" spans="1:4" x14ac:dyDescent="0.35">
      <c r="A55" t="s">
        <v>19</v>
      </c>
      <c r="D55">
        <f t="shared" si="1"/>
        <v>0</v>
      </c>
    </row>
    <row r="56" spans="1:4" x14ac:dyDescent="0.35">
      <c r="A56" t="s">
        <v>110</v>
      </c>
      <c r="B56">
        <v>218.86</v>
      </c>
      <c r="D56" s="11">
        <f t="shared" si="1"/>
        <v>218.86</v>
      </c>
    </row>
    <row r="57" spans="1:4" x14ac:dyDescent="0.35">
      <c r="A57" t="s">
        <v>111</v>
      </c>
      <c r="B57">
        <v>3</v>
      </c>
      <c r="D57" s="11">
        <f t="shared" si="1"/>
        <v>3</v>
      </c>
    </row>
    <row r="58" spans="1:4" x14ac:dyDescent="0.35">
      <c r="A58" t="s">
        <v>112</v>
      </c>
      <c r="B58" t="s">
        <v>147</v>
      </c>
      <c r="D58" t="s">
        <v>147</v>
      </c>
    </row>
    <row r="59" spans="1:4" x14ac:dyDescent="0.35">
      <c r="A59" t="s">
        <v>23</v>
      </c>
      <c r="B59">
        <v>850.51</v>
      </c>
      <c r="D59" s="11">
        <f t="shared" si="1"/>
        <v>850.51</v>
      </c>
    </row>
    <row r="60" spans="1:4" x14ac:dyDescent="0.35">
      <c r="A60" t="s">
        <v>25</v>
      </c>
      <c r="D60">
        <f t="shared" si="1"/>
        <v>0</v>
      </c>
    </row>
    <row r="61" spans="1:4" x14ac:dyDescent="0.35">
      <c r="A61" t="s">
        <v>113</v>
      </c>
      <c r="B61">
        <v>1999</v>
      </c>
      <c r="D61" s="11">
        <f t="shared" si="1"/>
        <v>1999</v>
      </c>
    </row>
    <row r="62" spans="1:4" x14ac:dyDescent="0.35">
      <c r="A62" t="s">
        <v>114</v>
      </c>
      <c r="B62">
        <v>1257</v>
      </c>
      <c r="D62" s="11">
        <f t="shared" si="1"/>
        <v>1257</v>
      </c>
    </row>
    <row r="63" spans="1:4" x14ac:dyDescent="0.35">
      <c r="A63" t="s">
        <v>115</v>
      </c>
      <c r="B63" t="s">
        <v>147</v>
      </c>
      <c r="D63" t="s">
        <v>147</v>
      </c>
    </row>
    <row r="64" spans="1:4" x14ac:dyDescent="0.35">
      <c r="A64" t="s">
        <v>27</v>
      </c>
      <c r="D64">
        <f t="shared" si="1"/>
        <v>0</v>
      </c>
    </row>
    <row r="65" spans="1:6" x14ac:dyDescent="0.35">
      <c r="A65" t="s">
        <v>116</v>
      </c>
      <c r="B65">
        <v>158.52000000000001</v>
      </c>
      <c r="D65" s="11">
        <f t="shared" si="1"/>
        <v>158.52000000000001</v>
      </c>
    </row>
    <row r="66" spans="1:6" x14ac:dyDescent="0.35">
      <c r="A66" t="s">
        <v>117</v>
      </c>
      <c r="B66">
        <v>142.1</v>
      </c>
      <c r="D66" s="11">
        <f t="shared" si="1"/>
        <v>142.1</v>
      </c>
    </row>
    <row r="67" spans="1:6" x14ac:dyDescent="0.35">
      <c r="A67" t="s">
        <v>118</v>
      </c>
      <c r="B67">
        <v>16036</v>
      </c>
      <c r="D67" s="11">
        <f t="shared" si="1"/>
        <v>16036</v>
      </c>
    </row>
    <row r="68" spans="1:6" x14ac:dyDescent="0.35">
      <c r="A68" t="s">
        <v>119</v>
      </c>
      <c r="B68" t="s">
        <v>147</v>
      </c>
      <c r="D68" t="s">
        <v>147</v>
      </c>
    </row>
    <row r="69" spans="1:6" x14ac:dyDescent="0.35">
      <c r="A69" t="s">
        <v>28</v>
      </c>
      <c r="B69">
        <v>405.55</v>
      </c>
      <c r="D69" s="11">
        <f t="shared" si="1"/>
        <v>405.55</v>
      </c>
    </row>
    <row r="70" spans="1:6" x14ac:dyDescent="0.35">
      <c r="A70" t="s">
        <v>30</v>
      </c>
      <c r="D70" s="11">
        <f t="shared" si="1"/>
        <v>0</v>
      </c>
    </row>
    <row r="71" spans="1:6" x14ac:dyDescent="0.35">
      <c r="A71" t="s">
        <v>64</v>
      </c>
      <c r="B71">
        <v>205</v>
      </c>
      <c r="D71" s="11">
        <f t="shared" si="1"/>
        <v>205</v>
      </c>
    </row>
    <row r="72" spans="1:6" x14ac:dyDescent="0.35">
      <c r="A72" t="s">
        <v>65</v>
      </c>
      <c r="B72">
        <v>510</v>
      </c>
      <c r="D72" s="11">
        <f t="shared" si="1"/>
        <v>510</v>
      </c>
    </row>
    <row r="73" spans="1:6" x14ac:dyDescent="0.35">
      <c r="A73" t="s">
        <v>33</v>
      </c>
      <c r="B73" t="s">
        <v>147</v>
      </c>
      <c r="D73" t="s">
        <v>147</v>
      </c>
    </row>
    <row r="74" spans="1:6" x14ac:dyDescent="0.35">
      <c r="A74" t="s">
        <v>67</v>
      </c>
      <c r="B74">
        <v>2800</v>
      </c>
      <c r="D74" s="11">
        <f t="shared" si="1"/>
        <v>2800</v>
      </c>
    </row>
    <row r="75" spans="1:6" x14ac:dyDescent="0.35">
      <c r="A75" t="s">
        <v>35</v>
      </c>
      <c r="D75">
        <f t="shared" si="1"/>
        <v>0</v>
      </c>
    </row>
    <row r="76" spans="1:6" x14ac:dyDescent="0.35">
      <c r="A76" t="s">
        <v>120</v>
      </c>
      <c r="B76">
        <v>397.3</v>
      </c>
      <c r="D76" s="11">
        <f t="shared" si="1"/>
        <v>397.3</v>
      </c>
    </row>
    <row r="77" spans="1:6" x14ac:dyDescent="0.35">
      <c r="A77" t="s">
        <v>45</v>
      </c>
      <c r="B77">
        <v>1698.8</v>
      </c>
      <c r="D77" s="11">
        <f t="shared" si="1"/>
        <v>1698.8</v>
      </c>
    </row>
    <row r="78" spans="1:6" x14ac:dyDescent="0.35">
      <c r="A78" t="s">
        <v>121</v>
      </c>
      <c r="B78">
        <v>379.85</v>
      </c>
      <c r="D78" s="11">
        <f t="shared" si="1"/>
        <v>379.85</v>
      </c>
      <c r="F78">
        <f>D78+D77+D76</f>
        <v>2475.9500000000003</v>
      </c>
    </row>
    <row r="79" spans="1:6" x14ac:dyDescent="0.35">
      <c r="A79" t="s">
        <v>69</v>
      </c>
      <c r="B79">
        <v>-47.5</v>
      </c>
      <c r="D79" s="11">
        <f t="shared" si="1"/>
        <v>-47.5</v>
      </c>
    </row>
    <row r="80" spans="1:6" x14ac:dyDescent="0.35">
      <c r="A80" t="s">
        <v>37</v>
      </c>
      <c r="B80" t="s">
        <v>147</v>
      </c>
      <c r="D80" s="11" t="s">
        <v>147</v>
      </c>
    </row>
    <row r="81" spans="1:4" x14ac:dyDescent="0.35">
      <c r="A81" t="s">
        <v>39</v>
      </c>
      <c r="B81">
        <v>354.2</v>
      </c>
      <c r="D81" s="11">
        <f t="shared" ref="D81:D83" si="2">B81+C81</f>
        <v>354.2</v>
      </c>
    </row>
    <row r="82" spans="1:4" x14ac:dyDescent="0.35">
      <c r="A82" t="s">
        <v>122</v>
      </c>
      <c r="D82" s="11">
        <f t="shared" si="2"/>
        <v>0</v>
      </c>
    </row>
    <row r="83" spans="1:4" x14ac:dyDescent="0.35">
      <c r="A83" t="s">
        <v>123</v>
      </c>
      <c r="B83">
        <v>63.4</v>
      </c>
      <c r="D83" s="11">
        <f t="shared" si="2"/>
        <v>63.4</v>
      </c>
    </row>
    <row r="84" spans="1:4" x14ac:dyDescent="0.35">
      <c r="A84" t="s">
        <v>124</v>
      </c>
      <c r="B84" t="s">
        <v>147</v>
      </c>
      <c r="D84" t="s">
        <v>147</v>
      </c>
    </row>
    <row r="85" spans="1:4" x14ac:dyDescent="0.35">
      <c r="A85" t="s">
        <v>40</v>
      </c>
      <c r="B85">
        <f>SUM(B17:B84)</f>
        <v>55539.62000000001</v>
      </c>
      <c r="D85">
        <f>SUM(D17:D84)</f>
        <v>55539.62000000001</v>
      </c>
    </row>
    <row r="86" spans="1:4" x14ac:dyDescent="0.35">
      <c r="A86" t="s">
        <v>41</v>
      </c>
      <c r="B86">
        <v>8218.44</v>
      </c>
      <c r="D86">
        <f>D14-D85</f>
        <v>13399.339999999997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56"/>
  <sheetViews>
    <sheetView topLeftCell="B1" workbookViewId="0">
      <selection activeCell="I7" sqref="I7"/>
    </sheetView>
  </sheetViews>
  <sheetFormatPr defaultRowHeight="14.5" x14ac:dyDescent="0.35"/>
  <cols>
    <col min="1" max="1" width="22.1796875" style="1" customWidth="1"/>
    <col min="4" max="4" width="9.1796875" style="10"/>
    <col min="5" max="5" width="9.81640625" style="10" bestFit="1" customWidth="1"/>
    <col min="6" max="6" width="9.1796875" style="10"/>
    <col min="7" max="7" width="9.81640625" style="10" bestFit="1" customWidth="1"/>
    <col min="8" max="12" width="9.1796875" style="10"/>
    <col min="14" max="14" width="9.1796875" style="29"/>
  </cols>
  <sheetData>
    <row r="1" spans="1:17" x14ac:dyDescent="0.35">
      <c r="D1" s="14">
        <v>2010</v>
      </c>
      <c r="E1" s="14"/>
      <c r="F1" s="14" t="s">
        <v>165</v>
      </c>
      <c r="G1" s="14"/>
      <c r="H1" s="14">
        <v>2012</v>
      </c>
      <c r="I1" s="14"/>
      <c r="J1" s="14">
        <v>2013</v>
      </c>
      <c r="K1" s="14"/>
      <c r="L1" s="14">
        <v>2014</v>
      </c>
      <c r="N1" s="29" t="s">
        <v>168</v>
      </c>
      <c r="O1" t="s">
        <v>147</v>
      </c>
      <c r="P1" t="s">
        <v>177</v>
      </c>
    </row>
    <row r="2" spans="1:17" x14ac:dyDescent="0.35">
      <c r="D2" s="14"/>
      <c r="E2" s="14"/>
      <c r="F2" s="14"/>
      <c r="G2" s="14"/>
      <c r="H2" s="14"/>
      <c r="I2" s="14"/>
      <c r="J2" s="14"/>
      <c r="K2" s="14"/>
      <c r="L2" s="14"/>
      <c r="P2" t="s">
        <v>176</v>
      </c>
    </row>
    <row r="3" spans="1:17" ht="15" x14ac:dyDescent="0.35">
      <c r="A3" s="5" t="s">
        <v>138</v>
      </c>
      <c r="M3" s="10" t="s">
        <v>147</v>
      </c>
      <c r="N3" s="30" t="s">
        <v>147</v>
      </c>
      <c r="P3" t="s">
        <v>147</v>
      </c>
    </row>
    <row r="4" spans="1:17" x14ac:dyDescent="0.35">
      <c r="A4" s="2" t="s">
        <v>154</v>
      </c>
      <c r="D4" s="10">
        <f>'2010'!B9</f>
        <v>31105.88</v>
      </c>
      <c r="F4" s="10">
        <f>'2011'!B9</f>
        <v>37339</v>
      </c>
      <c r="H4" s="10">
        <f>'2012'!B9</f>
        <v>30820</v>
      </c>
      <c r="J4" s="10">
        <f>'2013'!B10</f>
        <v>30405.5</v>
      </c>
      <c r="L4" s="10">
        <f>'2014'!D12</f>
        <v>33297.760000000002</v>
      </c>
      <c r="N4" s="31">
        <f>O7*25</f>
        <v>35000</v>
      </c>
      <c r="O4" s="27"/>
      <c r="P4" s="15">
        <v>23173.14</v>
      </c>
      <c r="Q4" t="s">
        <v>147</v>
      </c>
    </row>
    <row r="5" spans="1:17" x14ac:dyDescent="0.35">
      <c r="A5" s="2" t="s">
        <v>155</v>
      </c>
      <c r="D5" s="10">
        <f>'2010'!B4</f>
        <v>23154.799999999999</v>
      </c>
      <c r="F5" s="10">
        <f>'2011'!B4</f>
        <v>16608</v>
      </c>
      <c r="H5" s="10">
        <f>'2012'!B4</f>
        <v>19030.2</v>
      </c>
      <c r="J5" s="10">
        <f>'2013'!B4</f>
        <v>19045</v>
      </c>
      <c r="L5" s="10">
        <f>'2014'!D5</f>
        <v>22705.200000000001</v>
      </c>
      <c r="N5" s="31">
        <f>O7*10</f>
        <v>14000</v>
      </c>
      <c r="P5" s="15">
        <f>17515.6+310</f>
        <v>17825.599999999999</v>
      </c>
      <c r="Q5" t="s">
        <v>147</v>
      </c>
    </row>
    <row r="6" spans="1:17" x14ac:dyDescent="0.35">
      <c r="A6" s="2" t="s">
        <v>233</v>
      </c>
      <c r="N6" s="31"/>
      <c r="P6" s="15">
        <v>2975</v>
      </c>
    </row>
    <row r="7" spans="1:17" x14ac:dyDescent="0.35">
      <c r="A7" s="2" t="s">
        <v>164</v>
      </c>
      <c r="E7" s="17">
        <f>D4/20</f>
        <v>1555.2940000000001</v>
      </c>
      <c r="F7" s="17"/>
      <c r="G7" s="17">
        <f>F4/20</f>
        <v>1866.95</v>
      </c>
      <c r="I7" s="15">
        <v>1539</v>
      </c>
      <c r="J7" s="15"/>
      <c r="K7" s="15">
        <v>1478</v>
      </c>
      <c r="L7" s="15"/>
      <c r="M7" s="15">
        <v>1495</v>
      </c>
      <c r="N7" s="31"/>
      <c r="O7">
        <v>1400</v>
      </c>
      <c r="Q7">
        <v>1350</v>
      </c>
    </row>
    <row r="8" spans="1:17" x14ac:dyDescent="0.35">
      <c r="A8" s="2"/>
      <c r="E8" s="16" t="s">
        <v>147</v>
      </c>
      <c r="G8" s="16"/>
      <c r="N8" s="31"/>
    </row>
    <row r="9" spans="1:17" ht="15" x14ac:dyDescent="0.35">
      <c r="A9" s="6" t="s">
        <v>137</v>
      </c>
      <c r="N9" s="31"/>
    </row>
    <row r="10" spans="1:17" x14ac:dyDescent="0.35">
      <c r="A10" s="3" t="s">
        <v>175</v>
      </c>
      <c r="D10" s="10">
        <f>'2010'!B6</f>
        <v>4200</v>
      </c>
      <c r="F10" s="10">
        <f>'2011'!B6</f>
        <v>3750</v>
      </c>
      <c r="H10" s="10">
        <f>'2012'!B6-'2012'!B39</f>
        <v>0</v>
      </c>
      <c r="J10" s="10">
        <f>'2013'!B6</f>
        <v>3320</v>
      </c>
      <c r="L10" s="10">
        <f>'2014'!D13</f>
        <v>5375</v>
      </c>
      <c r="N10" s="31">
        <v>5400</v>
      </c>
      <c r="P10" s="15">
        <v>4785</v>
      </c>
    </row>
    <row r="11" spans="1:17" x14ac:dyDescent="0.35">
      <c r="A11" s="3" t="s">
        <v>125</v>
      </c>
      <c r="D11" s="10">
        <f>'2010'!B7</f>
        <v>1468</v>
      </c>
      <c r="F11" s="10">
        <f>'2011'!B7</f>
        <v>2127</v>
      </c>
      <c r="H11" s="10">
        <f>'2012'!B7</f>
        <v>1711.5</v>
      </c>
      <c r="J11" s="10">
        <f>'2013'!B7</f>
        <v>2006</v>
      </c>
      <c r="L11" s="10">
        <f>'2014'!D10</f>
        <v>2465</v>
      </c>
      <c r="N11" s="31">
        <v>2400</v>
      </c>
      <c r="P11" s="28">
        <v>4559</v>
      </c>
    </row>
    <row r="12" spans="1:17" x14ac:dyDescent="0.35">
      <c r="A12" s="3" t="s">
        <v>126</v>
      </c>
      <c r="N12" s="31"/>
    </row>
    <row r="13" spans="1:17" x14ac:dyDescent="0.35">
      <c r="A13" s="3" t="s">
        <v>158</v>
      </c>
      <c r="J13" s="10">
        <f>'2013'!B8</f>
        <v>-150</v>
      </c>
      <c r="N13" s="31"/>
    </row>
    <row r="14" spans="1:17" x14ac:dyDescent="0.35">
      <c r="A14" s="3" t="s">
        <v>148</v>
      </c>
      <c r="D14" s="10">
        <f>'2010'!B8</f>
        <v>6.31</v>
      </c>
      <c r="F14" s="10">
        <f>'2011'!B8</f>
        <v>5.99</v>
      </c>
      <c r="H14" s="10">
        <f>'2012'!B8+'2012'!B11</f>
        <v>514.39</v>
      </c>
      <c r="J14" s="10">
        <f>'2013'!B12+'2013'!B9</f>
        <v>-71.319999999999993</v>
      </c>
      <c r="N14" s="31"/>
    </row>
    <row r="15" spans="1:17" x14ac:dyDescent="0.35">
      <c r="A15" s="3" t="s">
        <v>91</v>
      </c>
      <c r="D15" s="10">
        <f>'2010'!B10</f>
        <v>5800</v>
      </c>
      <c r="F15" s="10">
        <f>'2011'!B10</f>
        <v>7285</v>
      </c>
      <c r="H15" s="10">
        <f>'2012'!B10</f>
        <v>7400</v>
      </c>
      <c r="J15" s="10">
        <f>'2013'!B11</f>
        <v>4073.49</v>
      </c>
      <c r="L15" s="10">
        <f>'2014'!D8</f>
        <v>5896</v>
      </c>
      <c r="N15" s="31">
        <v>5500</v>
      </c>
      <c r="P15" s="15">
        <v>4609.5</v>
      </c>
    </row>
    <row r="16" spans="1:17" x14ac:dyDescent="0.35">
      <c r="A16" s="3"/>
      <c r="N16" s="31"/>
    </row>
    <row r="17" spans="1:17" ht="15.5" x14ac:dyDescent="0.35">
      <c r="A17" s="8" t="s">
        <v>3</v>
      </c>
      <c r="D17" s="10">
        <f>SUM(D4:D15)</f>
        <v>65734.989999999991</v>
      </c>
      <c r="F17" s="10">
        <f>SUM(F4:F15)</f>
        <v>67114.989999999991</v>
      </c>
      <c r="H17" s="10">
        <f>SUM(H4:H15)</f>
        <v>59476.09</v>
      </c>
      <c r="J17" s="10">
        <f>SUM(J4:J15)</f>
        <v>58628.67</v>
      </c>
      <c r="L17" s="10">
        <f>SUM(L4:L15)</f>
        <v>69738.960000000006</v>
      </c>
      <c r="N17" s="31">
        <f>SUM(N4:N15)</f>
        <v>62300</v>
      </c>
      <c r="P17" s="10">
        <f>SUM(P4:P15)</f>
        <v>57927.24</v>
      </c>
    </row>
    <row r="18" spans="1:17" x14ac:dyDescent="0.35">
      <c r="A18" s="3"/>
      <c r="N18" s="31"/>
    </row>
    <row r="19" spans="1:17" ht="15.5" x14ac:dyDescent="0.35">
      <c r="A19" s="7" t="s">
        <v>127</v>
      </c>
      <c r="N19" s="31"/>
    </row>
    <row r="20" spans="1:17" x14ac:dyDescent="0.35">
      <c r="A20" s="3" t="s">
        <v>128</v>
      </c>
      <c r="D20" s="10">
        <f>'2010'!B30</f>
        <v>22864.92</v>
      </c>
      <c r="E20" s="18">
        <f>D20/E7</f>
        <v>14.701349069693574</v>
      </c>
      <c r="F20" s="10">
        <f>'2011'!B29</f>
        <v>10299.5</v>
      </c>
      <c r="G20" s="18">
        <f>F20/G7</f>
        <v>5.5167519215833307</v>
      </c>
      <c r="H20" s="10">
        <f>'2012'!B43</f>
        <v>13348.64</v>
      </c>
      <c r="I20" s="18">
        <f>H20/I7</f>
        <v>8.6735802469135805</v>
      </c>
      <c r="J20" s="10">
        <f>'2013'!B51</f>
        <v>25766.47</v>
      </c>
      <c r="K20" s="18">
        <f>J20/K7</f>
        <v>17.433335588633287</v>
      </c>
      <c r="L20" s="10">
        <f>SUM('2014'!D65:D67)</f>
        <v>16336.62</v>
      </c>
      <c r="M20" s="18">
        <f>L20/M7</f>
        <v>10.927505016722408</v>
      </c>
      <c r="N20" s="31">
        <v>16500</v>
      </c>
      <c r="P20" s="15">
        <v>2810.1</v>
      </c>
    </row>
    <row r="21" spans="1:17" ht="25" x14ac:dyDescent="0.35">
      <c r="A21" s="3" t="s">
        <v>129</v>
      </c>
      <c r="D21" s="10">
        <f>'2010'!B26</f>
        <v>10313.459999999999</v>
      </c>
      <c r="F21" s="10">
        <f>'2011'!B26</f>
        <v>4177.95</v>
      </c>
      <c r="H21" s="10">
        <f>'2012'!B41</f>
        <v>13658.92</v>
      </c>
      <c r="J21" s="10">
        <f>'2013'!B46</f>
        <v>5166.04</v>
      </c>
      <c r="L21" s="10">
        <f>'2014'!D59+7000</f>
        <v>7850.51</v>
      </c>
      <c r="N21" s="31">
        <v>4000</v>
      </c>
      <c r="P21" s="15">
        <f>5174.14-376.48</f>
        <v>4797.66</v>
      </c>
    </row>
    <row r="22" spans="1:17" x14ac:dyDescent="0.35">
      <c r="A22" s="3" t="s">
        <v>130</v>
      </c>
      <c r="H22" s="10">
        <f>'2012'!B48</f>
        <v>1507.35</v>
      </c>
      <c r="J22" s="10">
        <f>'2013'!B56</f>
        <v>1318.4</v>
      </c>
      <c r="L22" s="10">
        <f>'2014'!D72</f>
        <v>510</v>
      </c>
      <c r="N22" s="31">
        <v>500</v>
      </c>
      <c r="P22" s="15">
        <v>0</v>
      </c>
    </row>
    <row r="23" spans="1:17" ht="25" x14ac:dyDescent="0.35">
      <c r="A23" s="3" t="s">
        <v>144</v>
      </c>
      <c r="D23" s="10">
        <f>'2010'!B21+'2010'!B23</f>
        <v>3283.0600000000004</v>
      </c>
      <c r="F23" s="10">
        <f>'2011'!B22+'2011'!B41</f>
        <v>1058.8699999999999</v>
      </c>
      <c r="H23" s="10">
        <f>'2012'!B37+'2012'!B35+'2012'!B58+'2012'!B38</f>
        <v>1851.4500000000003</v>
      </c>
      <c r="J23" s="10">
        <f>'2013'!B70</f>
        <v>125.11</v>
      </c>
      <c r="L23" s="10">
        <f>'2014'!D54</f>
        <v>649.29999999999995</v>
      </c>
      <c r="N23" s="31">
        <v>1300</v>
      </c>
      <c r="P23" s="15">
        <f>1054.95+130</f>
        <v>1184.95</v>
      </c>
    </row>
    <row r="24" spans="1:17" x14ac:dyDescent="0.35">
      <c r="A24" s="3" t="s">
        <v>178</v>
      </c>
      <c r="N24" s="31"/>
      <c r="P24" s="15">
        <v>1183.43</v>
      </c>
    </row>
    <row r="25" spans="1:17" s="22" customFormat="1" x14ac:dyDescent="0.35">
      <c r="A25" s="25" t="s">
        <v>171</v>
      </c>
      <c r="D25" s="23"/>
      <c r="E25" s="23"/>
      <c r="F25" s="23"/>
      <c r="G25" s="23"/>
      <c r="H25" s="23"/>
      <c r="I25" s="23"/>
      <c r="J25" s="23"/>
      <c r="K25" s="23"/>
      <c r="L25" s="23"/>
      <c r="N25" s="31">
        <f>0.62*O7+(1.25*100)</f>
        <v>993</v>
      </c>
      <c r="P25" s="15">
        <f>-590+8.54</f>
        <v>-581.46</v>
      </c>
    </row>
    <row r="26" spans="1:17" x14ac:dyDescent="0.35">
      <c r="A26" s="3" t="s">
        <v>173</v>
      </c>
      <c r="D26" s="10">
        <f>'2010'!B14</f>
        <v>139.97999999999999</v>
      </c>
      <c r="F26" s="10">
        <f>'2011'!B14</f>
        <v>440</v>
      </c>
      <c r="H26" s="10">
        <f>'2012'!B16</f>
        <v>246.15</v>
      </c>
      <c r="J26" s="10">
        <f>'2013'!B17</f>
        <v>240.48</v>
      </c>
      <c r="L26" s="10">
        <f>SUM('2014'!D18:D22)</f>
        <v>242</v>
      </c>
      <c r="N26" s="31">
        <v>400</v>
      </c>
      <c r="P26" s="15">
        <v>98</v>
      </c>
    </row>
    <row r="27" spans="1:17" x14ac:dyDescent="0.35">
      <c r="A27" s="2" t="s">
        <v>131</v>
      </c>
      <c r="H27" s="10">
        <f>'2012'!B51</f>
        <v>3700</v>
      </c>
      <c r="J27" s="10">
        <f>'2013'!B58</f>
        <v>3200</v>
      </c>
      <c r="L27" s="10">
        <f>'2014'!D74</f>
        <v>2800</v>
      </c>
      <c r="N27" s="31">
        <v>1500</v>
      </c>
      <c r="P27" s="15">
        <v>400</v>
      </c>
    </row>
    <row r="28" spans="1:17" x14ac:dyDescent="0.35">
      <c r="A28" s="4" t="s">
        <v>159</v>
      </c>
      <c r="D28" s="10">
        <f>'2010'!B27</f>
        <v>9745</v>
      </c>
      <c r="F28" s="10">
        <f>'2011'!B27</f>
        <v>10875</v>
      </c>
      <c r="H28" s="10">
        <f>'2012'!B52</f>
        <v>4375</v>
      </c>
      <c r="J28" s="10">
        <f>SUM('2013'!B60:B62)</f>
        <v>7025</v>
      </c>
      <c r="L28" s="10">
        <f>-'2014'!D11</f>
        <v>800</v>
      </c>
      <c r="N28" s="31">
        <v>1500</v>
      </c>
      <c r="P28" s="15">
        <f>1182.5-400</f>
        <v>782.5</v>
      </c>
    </row>
    <row r="29" spans="1:17" x14ac:dyDescent="0.35">
      <c r="A29" s="4" t="s">
        <v>174</v>
      </c>
      <c r="L29" s="10">
        <f>'2014'!D17</f>
        <v>2025</v>
      </c>
      <c r="N29" s="31">
        <v>1900</v>
      </c>
      <c r="P29" s="15">
        <v>1775</v>
      </c>
    </row>
    <row r="30" spans="1:17" x14ac:dyDescent="0.35">
      <c r="A30" s="3" t="s">
        <v>132</v>
      </c>
      <c r="D30" s="10">
        <f>SUM('2010'!B17:B19)+'2010'!B37</f>
        <v>8181.58</v>
      </c>
      <c r="F30" s="10">
        <f>SUM('2011'!B17:B19)+'2011'!B36+'2011'!B23</f>
        <v>7836.05</v>
      </c>
      <c r="H30" s="10">
        <f>SUM('2012'!B19:B20)</f>
        <v>215</v>
      </c>
      <c r="J30" s="10">
        <f>'2013'!B43+SUM('2013'!B20:B22)+'2013'!B24</f>
        <v>5842.58</v>
      </c>
      <c r="L30" s="10">
        <f>SUM('2014'!D25:D36)</f>
        <v>7599.48</v>
      </c>
      <c r="N30" s="31">
        <v>7600</v>
      </c>
      <c r="P30" s="15">
        <v>7458.81</v>
      </c>
    </row>
    <row r="31" spans="1:17" x14ac:dyDescent="0.35">
      <c r="A31" s="3" t="s">
        <v>25</v>
      </c>
      <c r="D31" s="10">
        <f>'2010'!B28</f>
        <v>3322</v>
      </c>
      <c r="F31" s="10">
        <f>'2011'!B28</f>
        <v>3348</v>
      </c>
      <c r="H31" s="10">
        <f>'2012'!B42</f>
        <v>3084</v>
      </c>
      <c r="J31" s="10">
        <f>'2013'!B47</f>
        <v>3555</v>
      </c>
      <c r="L31" s="26">
        <f>SUM('2014'!D61:D62)</f>
        <v>3256</v>
      </c>
      <c r="N31" s="31">
        <v>3500</v>
      </c>
      <c r="P31">
        <v>4321.2</v>
      </c>
      <c r="Q31" t="s">
        <v>147</v>
      </c>
    </row>
    <row r="32" spans="1:17" x14ac:dyDescent="0.35">
      <c r="A32" s="3" t="s">
        <v>28</v>
      </c>
      <c r="D32" s="10">
        <f>'2010'!B31</f>
        <v>581.03</v>
      </c>
      <c r="F32" s="10">
        <f>'2011'!B30</f>
        <v>1386.23</v>
      </c>
      <c r="H32" s="10">
        <f>'2012'!B44</f>
        <v>753.16</v>
      </c>
      <c r="J32" s="10">
        <f>'2013'!B52</f>
        <v>751.38</v>
      </c>
      <c r="L32" s="10">
        <f>'2014'!D69</f>
        <v>405.55</v>
      </c>
      <c r="N32" s="31">
        <v>400</v>
      </c>
      <c r="P32">
        <v>95.2</v>
      </c>
    </row>
    <row r="33" spans="1:18" x14ac:dyDescent="0.35">
      <c r="A33" s="3" t="s">
        <v>73</v>
      </c>
      <c r="J33" s="10">
        <f>'2013'!B25</f>
        <v>4.62</v>
      </c>
      <c r="L33" s="10">
        <f>'2014'!D38</f>
        <v>1492.25</v>
      </c>
      <c r="N33" s="31">
        <v>1500</v>
      </c>
      <c r="P33">
        <v>1022.14</v>
      </c>
    </row>
    <row r="34" spans="1:18" x14ac:dyDescent="0.35">
      <c r="A34" s="3" t="s">
        <v>133</v>
      </c>
      <c r="D34" s="10">
        <f>'2010'!B34</f>
        <v>868.22</v>
      </c>
      <c r="F34" s="10">
        <f>'2011'!B33</f>
        <v>556.6</v>
      </c>
      <c r="H34" s="10">
        <f>'2012'!B47</f>
        <v>856.5</v>
      </c>
      <c r="J34" s="10">
        <f>'2013'!B55</f>
        <v>345</v>
      </c>
      <c r="N34" s="31">
        <v>400</v>
      </c>
    </row>
    <row r="35" spans="1:18" x14ac:dyDescent="0.35">
      <c r="A35" s="3" t="s">
        <v>152</v>
      </c>
      <c r="J35" s="10">
        <f>'2013'!B49</f>
        <v>740</v>
      </c>
      <c r="N35" s="31"/>
      <c r="P35">
        <f>85+90</f>
        <v>175</v>
      </c>
    </row>
    <row r="36" spans="1:18" x14ac:dyDescent="0.35">
      <c r="A36" s="3" t="s">
        <v>134</v>
      </c>
      <c r="D36" s="10">
        <f>'2010'!B42</f>
        <v>373.3</v>
      </c>
      <c r="F36" s="10">
        <f>'2011'!B40</f>
        <v>961.22</v>
      </c>
      <c r="H36" s="10">
        <f>'2012'!B57</f>
        <v>693.71</v>
      </c>
      <c r="J36" s="10">
        <f>'2013'!B69</f>
        <v>527.71</v>
      </c>
      <c r="L36" s="10">
        <f>'2014'!D81</f>
        <v>354.2</v>
      </c>
      <c r="N36" s="31">
        <v>600</v>
      </c>
      <c r="P36" s="15">
        <v>422.5</v>
      </c>
    </row>
    <row r="37" spans="1:18" x14ac:dyDescent="0.35">
      <c r="A37" s="3" t="s">
        <v>146</v>
      </c>
      <c r="D37" s="10">
        <f>'2010'!B29+'2010'!B25</f>
        <v>971.77</v>
      </c>
      <c r="F37" s="10">
        <f>'2011'!B25</f>
        <v>422.4</v>
      </c>
      <c r="H37" s="10">
        <f>'2012'!B40</f>
        <v>178.88</v>
      </c>
      <c r="J37" s="10">
        <f>'2013'!B50+'2013'!B45+'2013'!B26</f>
        <v>753.96</v>
      </c>
      <c r="L37" s="10">
        <f>'2014'!D83</f>
        <v>63.4</v>
      </c>
      <c r="N37" s="31">
        <v>200</v>
      </c>
    </row>
    <row r="38" spans="1:18" x14ac:dyDescent="0.35">
      <c r="A38" s="3" t="s">
        <v>141</v>
      </c>
      <c r="D38" s="10">
        <f>'2010'!B24+'2010'!B22</f>
        <v>286</v>
      </c>
      <c r="F38" s="10">
        <f>'2011'!B24+'2011'!B21</f>
        <v>127</v>
      </c>
      <c r="H38" s="10">
        <f>'2012'!B36</f>
        <v>145.19999999999999</v>
      </c>
      <c r="J38" s="10">
        <f>'2013'!B42+'2013'!B44</f>
        <v>119</v>
      </c>
      <c r="L38" s="10">
        <f>'2014'!D56+'2014'!D57</f>
        <v>221.86</v>
      </c>
      <c r="N38" s="31">
        <v>250</v>
      </c>
      <c r="P38">
        <f>3</f>
        <v>3</v>
      </c>
    </row>
    <row r="39" spans="1:18" x14ac:dyDescent="0.35">
      <c r="A39" s="3" t="s">
        <v>135</v>
      </c>
      <c r="H39" s="10">
        <f>'2012'!B49</f>
        <v>180</v>
      </c>
      <c r="N39" s="31"/>
    </row>
    <row r="40" spans="1:18" x14ac:dyDescent="0.35">
      <c r="A40" s="3" t="s">
        <v>143</v>
      </c>
      <c r="D40" s="10">
        <f>'2010'!B35</f>
        <v>5181</v>
      </c>
      <c r="F40" s="10">
        <f>'2011'!B34</f>
        <v>5701.12</v>
      </c>
      <c r="H40" s="10">
        <f>'2012'!B46+'2012'!B55-'2012'!B12</f>
        <v>535.17999999999995</v>
      </c>
      <c r="J40" s="10">
        <f>'2013'!B54+'2013'!B64-'2013'!B13+'2013'!B67</f>
        <v>442.6</v>
      </c>
      <c r="L40" s="26">
        <f>'2014'!D71+'2014'!D79+'2014'!D78</f>
        <v>537.35</v>
      </c>
      <c r="N40" s="31">
        <v>600</v>
      </c>
      <c r="P40">
        <f>425+2259.97+511</f>
        <v>3195.97</v>
      </c>
    </row>
    <row r="41" spans="1:18" ht="37.5" x14ac:dyDescent="0.35">
      <c r="A41" s="3" t="s">
        <v>136</v>
      </c>
      <c r="D41" s="10">
        <f>'2010'!B39+'2010'!B32</f>
        <v>15410.35</v>
      </c>
      <c r="F41" s="10">
        <f>'2011'!B38+'2011'!B31</f>
        <v>14268.75</v>
      </c>
      <c r="H41" s="10">
        <f>SUM('2012'!B23:B33)+'2012'!B54</f>
        <v>17023.25</v>
      </c>
      <c r="J41" s="10">
        <f>SUM('2013'!B28:B40)+'2013'!B66</f>
        <v>18890.95</v>
      </c>
      <c r="L41" s="10">
        <f>SUM('2014'!D40:D52)+SUM('2014'!D76:D77)</f>
        <v>18196.099999999999</v>
      </c>
      <c r="N41" s="31">
        <f>Stipends!B18</f>
        <v>450</v>
      </c>
      <c r="P41" s="15">
        <v>19050</v>
      </c>
    </row>
    <row r="42" spans="1:18" x14ac:dyDescent="0.35">
      <c r="N42" s="31"/>
    </row>
    <row r="43" spans="1:18" ht="15.5" x14ac:dyDescent="0.35">
      <c r="A43" s="8" t="s">
        <v>139</v>
      </c>
      <c r="D43" s="10">
        <f>SUM(D20:D41)</f>
        <v>81521.670000000013</v>
      </c>
      <c r="F43" s="10">
        <f>SUM(F20:F41)</f>
        <v>61458.69000000001</v>
      </c>
      <c r="H43" s="10">
        <f>SUM(H20:H41)</f>
        <v>62352.389999999992</v>
      </c>
      <c r="J43" s="10">
        <f>SUM(J20:J41)</f>
        <v>74814.3</v>
      </c>
      <c r="L43" s="10">
        <f>SUM(L20:L41)</f>
        <v>63339.62</v>
      </c>
      <c r="N43" s="31">
        <f>SUM(N20:N41)</f>
        <v>44093</v>
      </c>
      <c r="P43" s="24">
        <f>SUM(P20:P41)</f>
        <v>48194</v>
      </c>
      <c r="R43" s="27" t="s">
        <v>147</v>
      </c>
    </row>
    <row r="44" spans="1:18" ht="15.5" x14ac:dyDescent="0.35">
      <c r="A44" s="9"/>
      <c r="N44" s="31"/>
    </row>
    <row r="45" spans="1:18" ht="15.5" x14ac:dyDescent="0.35">
      <c r="A45" s="8" t="s">
        <v>140</v>
      </c>
      <c r="D45" s="10">
        <f>D17-D43</f>
        <v>-15786.680000000022</v>
      </c>
      <c r="F45" s="10">
        <f>F17-F43</f>
        <v>5656.2999999999811</v>
      </c>
      <c r="H45" s="10">
        <f>H17-H43</f>
        <v>-2876.2999999999956</v>
      </c>
      <c r="J45" s="10">
        <f>J17-J43</f>
        <v>-16185.630000000005</v>
      </c>
      <c r="L45" s="10">
        <f>L17-L43</f>
        <v>6399.3400000000038</v>
      </c>
      <c r="N45" s="31">
        <f>N17-N43</f>
        <v>18207</v>
      </c>
      <c r="P45" s="24">
        <f>P17-P43</f>
        <v>9733.239999999998</v>
      </c>
    </row>
    <row r="47" spans="1:18" x14ac:dyDescent="0.35">
      <c r="A47" s="1" t="s">
        <v>142</v>
      </c>
      <c r="L47" s="10" t="s">
        <v>147</v>
      </c>
    </row>
    <row r="48" spans="1:18" x14ac:dyDescent="0.35">
      <c r="A48" s="1" t="s">
        <v>151</v>
      </c>
    </row>
    <row r="49" spans="1:1" x14ac:dyDescent="0.35">
      <c r="A49" s="1" t="s">
        <v>145</v>
      </c>
    </row>
    <row r="50" spans="1:1" x14ac:dyDescent="0.35">
      <c r="A50" s="1" t="s">
        <v>153</v>
      </c>
    </row>
    <row r="51" spans="1:1" x14ac:dyDescent="0.35">
      <c r="A51" s="1" t="s">
        <v>149</v>
      </c>
    </row>
    <row r="52" spans="1:1" x14ac:dyDescent="0.35">
      <c r="A52" s="1" t="s">
        <v>150</v>
      </c>
    </row>
    <row r="53" spans="1:1" x14ac:dyDescent="0.35">
      <c r="A53" s="1" t="s">
        <v>160</v>
      </c>
    </row>
    <row r="54" spans="1:1" x14ac:dyDescent="0.35">
      <c r="A54" s="1" t="s">
        <v>163</v>
      </c>
    </row>
    <row r="55" spans="1:1" x14ac:dyDescent="0.35">
      <c r="A55" s="1" t="s">
        <v>167</v>
      </c>
    </row>
    <row r="56" spans="1:1" x14ac:dyDescent="0.35">
      <c r="A56" s="1" t="s">
        <v>170</v>
      </c>
    </row>
  </sheetData>
  <printOptions gridLines="1"/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73"/>
  <sheetViews>
    <sheetView workbookViewId="0">
      <selection activeCell="E7" sqref="E7"/>
    </sheetView>
  </sheetViews>
  <sheetFormatPr defaultRowHeight="14.5" x14ac:dyDescent="0.35"/>
  <cols>
    <col min="1" max="1" width="22.1796875" style="1" customWidth="1"/>
    <col min="3" max="3" width="12.54296875" style="47" customWidth="1"/>
    <col min="5" max="5" width="10" style="45" bestFit="1" customWidth="1"/>
    <col min="6" max="6" width="5.81640625" customWidth="1"/>
    <col min="7" max="7" width="12.1796875" bestFit="1" customWidth="1"/>
  </cols>
  <sheetData>
    <row r="1" spans="1:15" x14ac:dyDescent="0.35">
      <c r="C1" s="47" t="s">
        <v>185</v>
      </c>
      <c r="E1" s="44">
        <v>2016</v>
      </c>
      <c r="G1" t="s">
        <v>272</v>
      </c>
    </row>
    <row r="2" spans="1:15" x14ac:dyDescent="0.35">
      <c r="C2" s="47" t="s">
        <v>186</v>
      </c>
      <c r="E2" s="45" t="s">
        <v>299</v>
      </c>
      <c r="G2">
        <v>2015</v>
      </c>
      <c r="H2">
        <v>2016</v>
      </c>
    </row>
    <row r="3" spans="1:15" ht="15" x14ac:dyDescent="0.35">
      <c r="A3" s="5" t="s">
        <v>138</v>
      </c>
      <c r="G3" s="15">
        <v>15266</v>
      </c>
      <c r="H3" s="15">
        <v>14120</v>
      </c>
      <c r="I3" s="39">
        <f>(H3-G3)/G3</f>
        <v>-7.5068780296082799E-2</v>
      </c>
    </row>
    <row r="4" spans="1:15" x14ac:dyDescent="0.35">
      <c r="A4" s="2" t="s">
        <v>187</v>
      </c>
      <c r="C4" s="43">
        <v>26250</v>
      </c>
      <c r="E4" s="21">
        <v>29008.14</v>
      </c>
      <c r="G4" s="39"/>
      <c r="O4" t="s">
        <v>147</v>
      </c>
    </row>
    <row r="5" spans="1:15" x14ac:dyDescent="0.35">
      <c r="A5" s="2" t="s">
        <v>188</v>
      </c>
      <c r="C5" s="43">
        <v>22000</v>
      </c>
      <c r="E5" s="21">
        <v>18449.29</v>
      </c>
      <c r="G5" s="39"/>
      <c r="K5" t="s">
        <v>147</v>
      </c>
    </row>
    <row r="6" spans="1:15" x14ac:dyDescent="0.35">
      <c r="A6" s="2" t="s">
        <v>234</v>
      </c>
      <c r="C6" s="43">
        <v>2975</v>
      </c>
      <c r="E6" s="46"/>
    </row>
    <row r="7" spans="1:15" x14ac:dyDescent="0.35">
      <c r="A7" s="2" t="s">
        <v>189</v>
      </c>
      <c r="C7" s="48">
        <v>1315</v>
      </c>
      <c r="E7" s="46">
        <v>1198</v>
      </c>
      <c r="G7" t="s">
        <v>271</v>
      </c>
    </row>
    <row r="8" spans="1:15" x14ac:dyDescent="0.35">
      <c r="A8" s="2"/>
      <c r="C8" s="43"/>
      <c r="E8" s="46"/>
    </row>
    <row r="9" spans="1:15" ht="15" x14ac:dyDescent="0.35">
      <c r="A9" s="6" t="s">
        <v>137</v>
      </c>
      <c r="C9" s="43"/>
      <c r="E9" s="46"/>
    </row>
    <row r="10" spans="1:15" x14ac:dyDescent="0.35">
      <c r="A10" s="3" t="s">
        <v>175</v>
      </c>
      <c r="C10" s="43">
        <v>4800</v>
      </c>
      <c r="E10" s="49">
        <v>3430</v>
      </c>
    </row>
    <row r="11" spans="1:15" x14ac:dyDescent="0.35">
      <c r="A11" s="3" t="s">
        <v>125</v>
      </c>
      <c r="C11" s="43">
        <v>4000</v>
      </c>
      <c r="E11" s="49">
        <f>6690</f>
        <v>6690</v>
      </c>
    </row>
    <row r="12" spans="1:15" x14ac:dyDescent="0.35">
      <c r="A12" s="3" t="s">
        <v>126</v>
      </c>
      <c r="C12" s="43"/>
      <c r="E12" s="46">
        <v>25</v>
      </c>
    </row>
    <row r="13" spans="1:15" x14ac:dyDescent="0.35">
      <c r="A13" s="3" t="s">
        <v>190</v>
      </c>
      <c r="C13" s="43"/>
      <c r="E13" s="46"/>
    </row>
    <row r="14" spans="1:15" x14ac:dyDescent="0.35">
      <c r="A14" s="3" t="s">
        <v>192</v>
      </c>
      <c r="C14" s="43"/>
      <c r="E14" s="46">
        <v>1000</v>
      </c>
    </row>
    <row r="15" spans="1:15" ht="15" thickBot="1" x14ac:dyDescent="0.4">
      <c r="A15" s="3" t="s">
        <v>191</v>
      </c>
      <c r="C15" s="43">
        <v>4000</v>
      </c>
      <c r="E15" s="50">
        <v>3600</v>
      </c>
    </row>
    <row r="16" spans="1:15" x14ac:dyDescent="0.35">
      <c r="A16" s="3"/>
      <c r="C16" s="43"/>
      <c r="E16" s="46"/>
    </row>
    <row r="17" spans="1:7" ht="15.5" x14ac:dyDescent="0.35">
      <c r="A17" s="8" t="s">
        <v>3</v>
      </c>
      <c r="C17" s="43">
        <v>64025</v>
      </c>
      <c r="E17" s="46">
        <f>SUM(E4:E15)-E7</f>
        <v>62202.43</v>
      </c>
      <c r="G17" s="15"/>
    </row>
    <row r="18" spans="1:7" x14ac:dyDescent="0.35">
      <c r="A18" s="3"/>
      <c r="C18" s="43"/>
      <c r="E18" s="46"/>
    </row>
    <row r="19" spans="1:7" ht="15.5" x14ac:dyDescent="0.35">
      <c r="A19" s="7" t="s">
        <v>127</v>
      </c>
      <c r="C19" s="43"/>
      <c r="E19" s="46"/>
    </row>
    <row r="20" spans="1:7" x14ac:dyDescent="0.35">
      <c r="A20" s="3" t="s">
        <v>193</v>
      </c>
      <c r="C20" s="43">
        <v>3000</v>
      </c>
      <c r="E20" s="46">
        <v>1205</v>
      </c>
    </row>
    <row r="21" spans="1:7" ht="25" x14ac:dyDescent="0.35">
      <c r="A21" s="3" t="s">
        <v>129</v>
      </c>
      <c r="C21" s="43">
        <v>3000</v>
      </c>
      <c r="E21" s="46">
        <v>3975.15</v>
      </c>
    </row>
    <row r="22" spans="1:7" x14ac:dyDescent="0.35">
      <c r="A22" s="3" t="s">
        <v>130</v>
      </c>
      <c r="C22" s="43"/>
      <c r="E22" s="46">
        <f>514-24</f>
        <v>490</v>
      </c>
    </row>
    <row r="23" spans="1:7" x14ac:dyDescent="0.35">
      <c r="A23" s="3" t="s">
        <v>242</v>
      </c>
      <c r="C23" s="43">
        <v>1600</v>
      </c>
      <c r="E23" s="46" t="s">
        <v>147</v>
      </c>
    </row>
    <row r="24" spans="1:7" x14ac:dyDescent="0.35">
      <c r="A24" s="3" t="s">
        <v>194</v>
      </c>
      <c r="C24" s="43">
        <v>2500</v>
      </c>
      <c r="E24" s="46">
        <v>427</v>
      </c>
    </row>
    <row r="25" spans="1:7" x14ac:dyDescent="0.35">
      <c r="A25" s="25" t="s">
        <v>269</v>
      </c>
      <c r="C25" s="43">
        <v>1000</v>
      </c>
      <c r="E25" s="46">
        <v>-526</v>
      </c>
    </row>
    <row r="26" spans="1:7" x14ac:dyDescent="0.35">
      <c r="A26" s="3" t="s">
        <v>173</v>
      </c>
      <c r="C26" s="43">
        <v>400</v>
      </c>
      <c r="E26" s="46">
        <v>258</v>
      </c>
    </row>
    <row r="27" spans="1:7" x14ac:dyDescent="0.35">
      <c r="A27" s="2" t="s">
        <v>244</v>
      </c>
      <c r="C27" s="43">
        <v>1500</v>
      </c>
      <c r="E27" s="46"/>
    </row>
    <row r="28" spans="1:7" x14ac:dyDescent="0.35">
      <c r="A28" s="4" t="s">
        <v>196</v>
      </c>
      <c r="C28" s="43">
        <v>1500</v>
      </c>
      <c r="E28" s="46">
        <v>2500</v>
      </c>
    </row>
    <row r="29" spans="1:7" x14ac:dyDescent="0.35">
      <c r="A29" s="4" t="s">
        <v>198</v>
      </c>
      <c r="C29" s="43">
        <v>5000</v>
      </c>
      <c r="E29" s="46">
        <v>2538</v>
      </c>
    </row>
    <row r="30" spans="1:7" x14ac:dyDescent="0.35">
      <c r="A30" s="4" t="s">
        <v>197</v>
      </c>
      <c r="C30" s="43">
        <v>1800</v>
      </c>
      <c r="E30" s="46">
        <f>787.5-12</f>
        <v>775.5</v>
      </c>
    </row>
    <row r="31" spans="1:7" x14ac:dyDescent="0.35">
      <c r="A31" s="3" t="s">
        <v>132</v>
      </c>
      <c r="C31" s="43">
        <v>7700</v>
      </c>
      <c r="E31" s="46">
        <f>8233.33</f>
        <v>8233.33</v>
      </c>
    </row>
    <row r="32" spans="1:7" x14ac:dyDescent="0.35">
      <c r="A32" s="3" t="s">
        <v>25</v>
      </c>
      <c r="C32" s="43">
        <v>4500</v>
      </c>
      <c r="E32" s="46">
        <v>4321</v>
      </c>
    </row>
    <row r="33" spans="1:8" x14ac:dyDescent="0.35">
      <c r="A33" s="3" t="s">
        <v>28</v>
      </c>
      <c r="C33" s="43">
        <v>300</v>
      </c>
      <c r="E33" s="46">
        <v>125</v>
      </c>
    </row>
    <row r="34" spans="1:8" x14ac:dyDescent="0.35">
      <c r="A34" s="3" t="s">
        <v>73</v>
      </c>
      <c r="C34" s="43">
        <v>1500</v>
      </c>
      <c r="E34" s="46">
        <v>1047.25</v>
      </c>
    </row>
    <row r="35" spans="1:8" x14ac:dyDescent="0.35">
      <c r="A35" s="3" t="s">
        <v>133</v>
      </c>
      <c r="C35" s="43"/>
      <c r="E35" s="46"/>
    </row>
    <row r="36" spans="1:8" x14ac:dyDescent="0.35">
      <c r="A36" s="3" t="s">
        <v>152</v>
      </c>
      <c r="C36" s="43">
        <v>200</v>
      </c>
      <c r="E36" s="46">
        <v>0</v>
      </c>
    </row>
    <row r="37" spans="1:8" x14ac:dyDescent="0.35">
      <c r="A37" s="3" t="s">
        <v>247</v>
      </c>
      <c r="C37" s="43">
        <v>600</v>
      </c>
      <c r="E37" s="46"/>
    </row>
    <row r="38" spans="1:8" x14ac:dyDescent="0.35">
      <c r="A38" s="3" t="s">
        <v>195</v>
      </c>
      <c r="C38" s="43">
        <v>200</v>
      </c>
      <c r="E38" s="46">
        <v>0</v>
      </c>
    </row>
    <row r="39" spans="1:8" x14ac:dyDescent="0.35">
      <c r="A39" s="3" t="s">
        <v>141</v>
      </c>
      <c r="C39" s="43">
        <v>250</v>
      </c>
      <c r="E39" s="46">
        <v>9</v>
      </c>
    </row>
    <row r="40" spans="1:8" x14ac:dyDescent="0.35">
      <c r="A40" s="3" t="s">
        <v>135</v>
      </c>
      <c r="C40" s="43"/>
      <c r="E40" s="46"/>
    </row>
    <row r="41" spans="1:8" x14ac:dyDescent="0.35">
      <c r="A41" s="3" t="s">
        <v>199</v>
      </c>
      <c r="C41" s="43">
        <v>3000</v>
      </c>
      <c r="E41" s="46">
        <f>-2704+457</f>
        <v>-2247</v>
      </c>
    </row>
    <row r="42" spans="1:8" ht="37.5" x14ac:dyDescent="0.35">
      <c r="A42" s="3" t="s">
        <v>263</v>
      </c>
      <c r="C42" s="43">
        <v>19050</v>
      </c>
      <c r="E42" s="46">
        <v>19105</v>
      </c>
    </row>
    <row r="43" spans="1:8" x14ac:dyDescent="0.35">
      <c r="C43" s="43"/>
      <c r="E43" s="46"/>
    </row>
    <row r="44" spans="1:8" ht="15.5" x14ac:dyDescent="0.35">
      <c r="A44" s="8" t="s">
        <v>139</v>
      </c>
      <c r="C44" s="43">
        <v>58600</v>
      </c>
      <c r="E44" s="51">
        <f>SUM(E20:E42)</f>
        <v>42236.229999999996</v>
      </c>
    </row>
    <row r="45" spans="1:8" ht="15.5" x14ac:dyDescent="0.35">
      <c r="A45" s="9"/>
      <c r="C45" s="43"/>
      <c r="E45" s="46"/>
    </row>
    <row r="46" spans="1:8" ht="15.5" x14ac:dyDescent="0.35">
      <c r="A46" s="8" t="s">
        <v>140</v>
      </c>
      <c r="C46" s="43">
        <v>5425</v>
      </c>
      <c r="E46" s="46">
        <f>E17-E44</f>
        <v>19966.200000000004</v>
      </c>
      <c r="G46" s="16"/>
      <c r="H46" s="10"/>
    </row>
    <row r="47" spans="1:8" x14ac:dyDescent="0.35">
      <c r="C47" s="43"/>
      <c r="E47" s="1"/>
      <c r="F47" s="10"/>
    </row>
    <row r="48" spans="1:8" x14ac:dyDescent="0.35">
      <c r="A48" s="1" t="s">
        <v>270</v>
      </c>
      <c r="F48" s="42"/>
    </row>
    <row r="50" spans="1:1" x14ac:dyDescent="0.35">
      <c r="A50" s="1" t="s">
        <v>253</v>
      </c>
    </row>
    <row r="51" spans="1:1" x14ac:dyDescent="0.35">
      <c r="A51" s="1" t="s">
        <v>235</v>
      </c>
    </row>
    <row r="52" spans="1:1" x14ac:dyDescent="0.35">
      <c r="A52" s="1" t="s">
        <v>251</v>
      </c>
    </row>
    <row r="53" spans="1:1" x14ac:dyDescent="0.35">
      <c r="A53" s="1" t="s">
        <v>236</v>
      </c>
    </row>
    <row r="54" spans="1:1" x14ac:dyDescent="0.35">
      <c r="A54" s="1" t="s">
        <v>252</v>
      </c>
    </row>
    <row r="55" spans="1:1" x14ac:dyDescent="0.35">
      <c r="A55" s="1" t="s">
        <v>254</v>
      </c>
    </row>
    <row r="56" spans="1:1" x14ac:dyDescent="0.35">
      <c r="A56" s="1" t="s">
        <v>240</v>
      </c>
    </row>
    <row r="57" spans="1:1" x14ac:dyDescent="0.35">
      <c r="A57" s="1" t="s">
        <v>241</v>
      </c>
    </row>
    <row r="58" spans="1:1" x14ac:dyDescent="0.35">
      <c r="A58" s="1" t="s">
        <v>255</v>
      </c>
    </row>
    <row r="59" spans="1:1" x14ac:dyDescent="0.35">
      <c r="A59" s="1" t="s">
        <v>256</v>
      </c>
    </row>
    <row r="60" spans="1:1" x14ac:dyDescent="0.35">
      <c r="A60" s="1" t="s">
        <v>257</v>
      </c>
    </row>
    <row r="61" spans="1:1" x14ac:dyDescent="0.35">
      <c r="A61" s="1" t="s">
        <v>243</v>
      </c>
    </row>
    <row r="62" spans="1:1" x14ac:dyDescent="0.35">
      <c r="A62" s="1" t="s">
        <v>258</v>
      </c>
    </row>
    <row r="63" spans="1:1" x14ac:dyDescent="0.35">
      <c r="A63" s="1" t="s">
        <v>238</v>
      </c>
    </row>
    <row r="64" spans="1:1" x14ac:dyDescent="0.35">
      <c r="A64" s="1" t="s">
        <v>259</v>
      </c>
    </row>
    <row r="65" spans="1:1" x14ac:dyDescent="0.35">
      <c r="A65" s="1" t="s">
        <v>245</v>
      </c>
    </row>
    <row r="66" spans="1:1" x14ac:dyDescent="0.35">
      <c r="A66" s="1" t="s">
        <v>246</v>
      </c>
    </row>
    <row r="67" spans="1:1" x14ac:dyDescent="0.35">
      <c r="A67" s="1" t="s">
        <v>260</v>
      </c>
    </row>
    <row r="68" spans="1:1" x14ac:dyDescent="0.35">
      <c r="A68" s="1" t="s">
        <v>239</v>
      </c>
    </row>
    <row r="69" spans="1:1" x14ac:dyDescent="0.35">
      <c r="A69" s="1" t="s">
        <v>261</v>
      </c>
    </row>
    <row r="70" spans="1:1" x14ac:dyDescent="0.35">
      <c r="A70" s="1" t="s">
        <v>262</v>
      </c>
    </row>
    <row r="71" spans="1:1" x14ac:dyDescent="0.35">
      <c r="A71" s="1" t="s">
        <v>248</v>
      </c>
    </row>
    <row r="72" spans="1:1" x14ac:dyDescent="0.35">
      <c r="A72" s="1" t="s">
        <v>264</v>
      </c>
    </row>
    <row r="73" spans="1:1" x14ac:dyDescent="0.35">
      <c r="A73" s="1" t="s">
        <v>265</v>
      </c>
    </row>
  </sheetData>
  <printOptions gridLines="1"/>
  <pageMargins left="0.7" right="0.7" top="0.75" bottom="0.75" header="0.3" footer="0.3"/>
  <pageSetup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73"/>
  <sheetViews>
    <sheetView zoomScaleNormal="100" workbookViewId="0">
      <selection activeCell="F7" sqref="F7"/>
    </sheetView>
  </sheetViews>
  <sheetFormatPr defaultRowHeight="14.5" x14ac:dyDescent="0.35"/>
  <cols>
    <col min="1" max="1" width="22.1796875" style="1" customWidth="1"/>
    <col min="3" max="3" width="14.26953125" style="33" customWidth="1"/>
    <col min="7" max="7" width="12.26953125" bestFit="1" customWidth="1"/>
    <col min="9" max="9" width="12.54296875" style="36" customWidth="1"/>
    <col min="10" max="10" width="9.1796875" style="36"/>
  </cols>
  <sheetData>
    <row r="1" spans="1:15" x14ac:dyDescent="0.35">
      <c r="C1" s="33" t="s">
        <v>168</v>
      </c>
      <c r="D1" t="s">
        <v>147</v>
      </c>
      <c r="E1" t="s">
        <v>177</v>
      </c>
      <c r="G1" t="s">
        <v>184</v>
      </c>
      <c r="I1" s="36" t="s">
        <v>185</v>
      </c>
      <c r="J1" s="36" t="s">
        <v>237</v>
      </c>
      <c r="O1" t="s">
        <v>266</v>
      </c>
    </row>
    <row r="2" spans="1:15" x14ac:dyDescent="0.35">
      <c r="E2" t="s">
        <v>176</v>
      </c>
      <c r="I2" s="36" t="s">
        <v>186</v>
      </c>
      <c r="O2" t="s">
        <v>267</v>
      </c>
    </row>
    <row r="3" spans="1:15" ht="15" x14ac:dyDescent="0.35">
      <c r="A3" s="5" t="s">
        <v>138</v>
      </c>
      <c r="C3" s="34" t="s">
        <v>147</v>
      </c>
      <c r="E3" t="s">
        <v>147</v>
      </c>
      <c r="O3" t="s">
        <v>268</v>
      </c>
    </row>
    <row r="4" spans="1:15" x14ac:dyDescent="0.35">
      <c r="A4" s="2" t="s">
        <v>187</v>
      </c>
      <c r="C4" s="35">
        <f>D7*25</f>
        <v>35000</v>
      </c>
      <c r="D4" s="27"/>
      <c r="E4" s="10">
        <v>23173.14</v>
      </c>
      <c r="F4" s="10"/>
      <c r="G4" s="10">
        <f>E4-C4</f>
        <v>-11826.86</v>
      </c>
      <c r="H4" s="10"/>
      <c r="I4" s="37">
        <f>J7*25-(300*25)</f>
        <v>26250</v>
      </c>
    </row>
    <row r="5" spans="1:15" x14ac:dyDescent="0.35">
      <c r="A5" s="2" t="s">
        <v>188</v>
      </c>
      <c r="C5" s="35">
        <f>D7*10</f>
        <v>14000</v>
      </c>
      <c r="E5" s="10">
        <f>17515.6+310</f>
        <v>17825.599999999999</v>
      </c>
      <c r="F5" s="10"/>
      <c r="G5" s="10">
        <f>E5-C5</f>
        <v>3825.5999999999985</v>
      </c>
      <c r="H5" s="10"/>
      <c r="I5" s="37">
        <f>K7*10</f>
        <v>22000</v>
      </c>
    </row>
    <row r="6" spans="1:15" x14ac:dyDescent="0.35">
      <c r="A6" s="2" t="s">
        <v>234</v>
      </c>
      <c r="C6" s="35"/>
      <c r="E6" s="10"/>
      <c r="F6" s="10"/>
      <c r="G6" s="10"/>
      <c r="H6" s="10"/>
      <c r="I6" s="37">
        <f>'Racer Days'!K3</f>
        <v>3875.31</v>
      </c>
      <c r="J6" s="36" t="s">
        <v>249</v>
      </c>
      <c r="K6" t="s">
        <v>250</v>
      </c>
    </row>
    <row r="7" spans="1:15" x14ac:dyDescent="0.35">
      <c r="A7" s="2" t="s">
        <v>189</v>
      </c>
      <c r="C7" s="35"/>
      <c r="D7">
        <v>1400</v>
      </c>
      <c r="E7" s="10"/>
      <c r="F7" s="16">
        <v>1350</v>
      </c>
      <c r="G7" s="10">
        <f>F7-D7</f>
        <v>-50</v>
      </c>
      <c r="H7" s="10"/>
      <c r="I7" s="37"/>
      <c r="J7" s="36">
        <v>1350</v>
      </c>
      <c r="K7" s="22">
        <v>2200</v>
      </c>
    </row>
    <row r="8" spans="1:15" x14ac:dyDescent="0.35">
      <c r="A8" s="2"/>
      <c r="C8" s="35"/>
      <c r="E8" s="10"/>
      <c r="F8" s="10"/>
      <c r="G8" s="10"/>
      <c r="H8" s="10"/>
      <c r="I8" s="37"/>
    </row>
    <row r="9" spans="1:15" ht="15" x14ac:dyDescent="0.35">
      <c r="A9" s="6" t="s">
        <v>137</v>
      </c>
      <c r="C9" s="35"/>
      <c r="E9" s="10"/>
      <c r="F9" s="10"/>
      <c r="G9" s="10"/>
      <c r="H9" s="10"/>
      <c r="I9" s="37"/>
    </row>
    <row r="10" spans="1:15" x14ac:dyDescent="0.35">
      <c r="A10" s="3" t="s">
        <v>175</v>
      </c>
      <c r="C10" s="35">
        <v>5400</v>
      </c>
      <c r="E10" s="10">
        <v>4785</v>
      </c>
      <c r="F10" s="10"/>
      <c r="G10" s="10">
        <f t="shared" ref="G10:G15" si="0">E10-C10</f>
        <v>-615</v>
      </c>
      <c r="H10" s="10"/>
      <c r="I10" s="37">
        <v>4800</v>
      </c>
    </row>
    <row r="11" spans="1:15" x14ac:dyDescent="0.35">
      <c r="A11" s="3" t="s">
        <v>125</v>
      </c>
      <c r="C11" s="35">
        <v>2400</v>
      </c>
      <c r="E11" s="40">
        <v>4559</v>
      </c>
      <c r="F11" s="10"/>
      <c r="G11" s="10">
        <f t="shared" si="0"/>
        <v>2159</v>
      </c>
      <c r="H11" s="10"/>
      <c r="I11" s="37">
        <v>4000</v>
      </c>
    </row>
    <row r="12" spans="1:15" x14ac:dyDescent="0.35">
      <c r="A12" s="3" t="s">
        <v>126</v>
      </c>
      <c r="C12" s="35"/>
      <c r="E12" s="10"/>
      <c r="F12" s="10"/>
      <c r="G12" s="10">
        <f t="shared" si="0"/>
        <v>0</v>
      </c>
      <c r="H12" s="10"/>
      <c r="I12" s="37"/>
    </row>
    <row r="13" spans="1:15" x14ac:dyDescent="0.35">
      <c r="A13" s="3" t="s">
        <v>190</v>
      </c>
      <c r="C13" s="35"/>
      <c r="E13" s="10"/>
      <c r="F13" s="10"/>
      <c r="G13" s="10">
        <f t="shared" si="0"/>
        <v>0</v>
      </c>
      <c r="H13" s="10"/>
      <c r="I13" s="37"/>
    </row>
    <row r="14" spans="1:15" x14ac:dyDescent="0.35">
      <c r="A14" s="3" t="s">
        <v>192</v>
      </c>
      <c r="C14" s="35"/>
      <c r="E14" s="10"/>
      <c r="F14" s="10"/>
      <c r="G14" s="10">
        <f t="shared" si="0"/>
        <v>0</v>
      </c>
      <c r="H14" s="10"/>
      <c r="I14" s="37"/>
    </row>
    <row r="15" spans="1:15" x14ac:dyDescent="0.35">
      <c r="A15" s="3" t="s">
        <v>191</v>
      </c>
      <c r="C15" s="35">
        <v>5500</v>
      </c>
      <c r="E15" s="10">
        <v>4609.5</v>
      </c>
      <c r="F15" s="10"/>
      <c r="G15" s="10">
        <f t="shared" si="0"/>
        <v>-890.5</v>
      </c>
      <c r="H15" s="10"/>
      <c r="I15" s="37">
        <v>4000</v>
      </c>
    </row>
    <row r="16" spans="1:15" x14ac:dyDescent="0.35">
      <c r="A16" s="3"/>
      <c r="C16" s="35"/>
      <c r="E16" s="10"/>
      <c r="F16" s="10"/>
      <c r="G16" s="10"/>
      <c r="H16" s="10"/>
      <c r="I16" s="37"/>
    </row>
    <row r="17" spans="1:15" ht="15.5" x14ac:dyDescent="0.35">
      <c r="A17" s="8" t="s">
        <v>3</v>
      </c>
      <c r="C17" s="35">
        <f>SUM(C4:C15)</f>
        <v>62300</v>
      </c>
      <c r="E17" s="10">
        <f>SUM(E4:E15)</f>
        <v>54952.24</v>
      </c>
      <c r="F17" s="10"/>
      <c r="G17" s="10">
        <f>E17-C17</f>
        <v>-7347.760000000002</v>
      </c>
      <c r="H17" s="10"/>
      <c r="I17" s="37">
        <f>SUM(I4:I15)</f>
        <v>64925.31</v>
      </c>
    </row>
    <row r="18" spans="1:15" x14ac:dyDescent="0.35">
      <c r="A18" s="3"/>
      <c r="C18" s="35"/>
      <c r="E18" s="10"/>
      <c r="F18" s="10"/>
      <c r="G18" s="10"/>
      <c r="H18" s="10"/>
      <c r="I18" s="37"/>
    </row>
    <row r="19" spans="1:15" ht="15.5" x14ac:dyDescent="0.35">
      <c r="A19" s="7" t="s">
        <v>127</v>
      </c>
      <c r="C19" s="35"/>
      <c r="E19" s="10"/>
      <c r="F19" s="10"/>
      <c r="G19" s="10"/>
      <c r="H19" s="10"/>
      <c r="I19" s="37"/>
    </row>
    <row r="20" spans="1:15" x14ac:dyDescent="0.35">
      <c r="A20" s="3" t="s">
        <v>193</v>
      </c>
      <c r="C20" s="35">
        <v>16500</v>
      </c>
      <c r="E20" s="10">
        <v>2810.1</v>
      </c>
      <c r="F20" s="10"/>
      <c r="G20" s="10">
        <f t="shared" ref="G20:G46" si="1">E20-C20</f>
        <v>-13689.9</v>
      </c>
      <c r="H20" s="10"/>
      <c r="I20" s="37">
        <v>3000</v>
      </c>
    </row>
    <row r="21" spans="1:15" ht="25" x14ac:dyDescent="0.35">
      <c r="A21" s="3" t="s">
        <v>129</v>
      </c>
      <c r="C21" s="35">
        <v>4000</v>
      </c>
      <c r="E21" s="10">
        <f>5174.14-376.48</f>
        <v>4797.66</v>
      </c>
      <c r="F21" s="10"/>
      <c r="G21" s="10">
        <f t="shared" si="1"/>
        <v>797.65999999999985</v>
      </c>
      <c r="H21" s="10"/>
      <c r="I21" s="37">
        <v>3000</v>
      </c>
    </row>
    <row r="22" spans="1:15" x14ac:dyDescent="0.35">
      <c r="A22" s="3" t="s">
        <v>130</v>
      </c>
      <c r="C22" s="35">
        <v>500</v>
      </c>
      <c r="E22" s="10">
        <v>0</v>
      </c>
      <c r="F22" s="10"/>
      <c r="G22" s="10">
        <f t="shared" si="1"/>
        <v>-500</v>
      </c>
      <c r="H22" s="10"/>
      <c r="I22" s="37"/>
    </row>
    <row r="23" spans="1:15" x14ac:dyDescent="0.35">
      <c r="A23" s="3" t="s">
        <v>242</v>
      </c>
      <c r="C23" s="35">
        <v>1300</v>
      </c>
      <c r="E23" s="10">
        <f>1054.95+130</f>
        <v>1184.95</v>
      </c>
      <c r="F23" s="10"/>
      <c r="G23" s="10">
        <f t="shared" si="1"/>
        <v>-115.04999999999995</v>
      </c>
      <c r="H23" s="10"/>
      <c r="I23" s="37">
        <v>1600</v>
      </c>
    </row>
    <row r="24" spans="1:15" x14ac:dyDescent="0.35">
      <c r="A24" s="3" t="s">
        <v>194</v>
      </c>
      <c r="C24" s="35">
        <v>0</v>
      </c>
      <c r="E24" s="10">
        <v>1183.43</v>
      </c>
      <c r="F24" s="10"/>
      <c r="G24" s="10">
        <f t="shared" si="1"/>
        <v>1183.43</v>
      </c>
      <c r="H24" s="10"/>
      <c r="I24" s="37">
        <v>2500</v>
      </c>
      <c r="O24" t="s">
        <v>147</v>
      </c>
    </row>
    <row r="25" spans="1:15" x14ac:dyDescent="0.35">
      <c r="A25" s="25" t="s">
        <v>269</v>
      </c>
      <c r="C25" s="35">
        <f>0.62*D7+(1.25*100)</f>
        <v>993</v>
      </c>
      <c r="D25" s="22"/>
      <c r="E25" s="10">
        <f>-590+8.54</f>
        <v>-581.46</v>
      </c>
      <c r="F25" s="23"/>
      <c r="G25" s="10">
        <f t="shared" si="1"/>
        <v>-1574.46</v>
      </c>
      <c r="H25" s="10"/>
      <c r="I25" s="37">
        <v>1000</v>
      </c>
    </row>
    <row r="26" spans="1:15" x14ac:dyDescent="0.35">
      <c r="A26" s="3" t="s">
        <v>173</v>
      </c>
      <c r="C26" s="35">
        <v>400</v>
      </c>
      <c r="E26" s="10">
        <v>98</v>
      </c>
      <c r="F26" s="10"/>
      <c r="G26" s="10">
        <f t="shared" si="1"/>
        <v>-302</v>
      </c>
      <c r="H26" s="10"/>
      <c r="I26" s="37">
        <v>400</v>
      </c>
    </row>
    <row r="27" spans="1:15" x14ac:dyDescent="0.35">
      <c r="A27" s="2" t="s">
        <v>244</v>
      </c>
      <c r="C27" s="35">
        <v>1500</v>
      </c>
      <c r="E27" s="10">
        <v>400</v>
      </c>
      <c r="F27" s="10"/>
      <c r="G27" s="10">
        <f t="shared" si="1"/>
        <v>-1100</v>
      </c>
      <c r="H27" s="10"/>
      <c r="I27" s="37">
        <v>1500</v>
      </c>
    </row>
    <row r="28" spans="1:15" x14ac:dyDescent="0.35">
      <c r="A28" s="4" t="s">
        <v>196</v>
      </c>
      <c r="C28" s="35">
        <v>1500</v>
      </c>
      <c r="E28" s="10">
        <f>1182.5-400</f>
        <v>782.5</v>
      </c>
      <c r="F28" s="10"/>
      <c r="G28" s="10">
        <f t="shared" si="1"/>
        <v>-717.5</v>
      </c>
      <c r="H28" s="10"/>
      <c r="I28" s="37">
        <v>1500</v>
      </c>
    </row>
    <row r="29" spans="1:15" x14ac:dyDescent="0.35">
      <c r="A29" s="4" t="s">
        <v>198</v>
      </c>
      <c r="C29" s="35"/>
      <c r="E29" s="10"/>
      <c r="F29" s="10"/>
      <c r="G29" s="10"/>
      <c r="H29" s="10"/>
      <c r="I29" s="37">
        <v>5000</v>
      </c>
    </row>
    <row r="30" spans="1:15" x14ac:dyDescent="0.35">
      <c r="A30" s="4" t="s">
        <v>197</v>
      </c>
      <c r="C30" s="35">
        <v>1900</v>
      </c>
      <c r="E30" s="10">
        <v>1775</v>
      </c>
      <c r="F30" s="10"/>
      <c r="G30" s="10">
        <f t="shared" si="1"/>
        <v>-125</v>
      </c>
      <c r="H30" s="10"/>
      <c r="I30" s="37">
        <v>1800</v>
      </c>
    </row>
    <row r="31" spans="1:15" x14ac:dyDescent="0.35">
      <c r="A31" s="3" t="s">
        <v>132</v>
      </c>
      <c r="C31" s="35">
        <v>7600</v>
      </c>
      <c r="E31" s="10">
        <v>7458.81</v>
      </c>
      <c r="F31" s="10"/>
      <c r="G31" s="10">
        <f t="shared" si="1"/>
        <v>-141.1899999999996</v>
      </c>
      <c r="H31" s="10"/>
      <c r="I31" s="37">
        <v>7700</v>
      </c>
    </row>
    <row r="32" spans="1:15" x14ac:dyDescent="0.35">
      <c r="A32" s="3" t="s">
        <v>25</v>
      </c>
      <c r="C32" s="35">
        <v>3500</v>
      </c>
      <c r="E32" s="10">
        <v>4321.2</v>
      </c>
      <c r="F32" s="10" t="s">
        <v>147</v>
      </c>
      <c r="G32" s="10">
        <f t="shared" si="1"/>
        <v>821.19999999999982</v>
      </c>
      <c r="H32" s="10"/>
      <c r="I32" s="37">
        <v>4500</v>
      </c>
    </row>
    <row r="33" spans="1:9" x14ac:dyDescent="0.35">
      <c r="A33" s="3" t="s">
        <v>28</v>
      </c>
      <c r="C33" s="35">
        <v>400</v>
      </c>
      <c r="E33" s="10">
        <v>95.2</v>
      </c>
      <c r="F33" s="10"/>
      <c r="G33" s="10">
        <f t="shared" si="1"/>
        <v>-304.8</v>
      </c>
      <c r="H33" s="10"/>
      <c r="I33" s="37">
        <v>300</v>
      </c>
    </row>
    <row r="34" spans="1:9" x14ac:dyDescent="0.35">
      <c r="A34" s="3" t="s">
        <v>73</v>
      </c>
      <c r="C34" s="35">
        <v>1500</v>
      </c>
      <c r="E34" s="10">
        <v>1022.14</v>
      </c>
      <c r="F34" s="10"/>
      <c r="G34" s="10">
        <f t="shared" si="1"/>
        <v>-477.86</v>
      </c>
      <c r="H34" s="10"/>
      <c r="I34" s="37">
        <v>1500</v>
      </c>
    </row>
    <row r="35" spans="1:9" x14ac:dyDescent="0.35">
      <c r="A35" s="3" t="s">
        <v>133</v>
      </c>
      <c r="C35" s="35">
        <v>400</v>
      </c>
      <c r="E35" s="10"/>
      <c r="F35" s="10"/>
      <c r="G35" s="10">
        <f t="shared" si="1"/>
        <v>-400</v>
      </c>
      <c r="H35" s="10"/>
      <c r="I35" s="37"/>
    </row>
    <row r="36" spans="1:9" x14ac:dyDescent="0.35">
      <c r="A36" s="3" t="s">
        <v>152</v>
      </c>
      <c r="C36" s="35"/>
      <c r="E36" s="10">
        <f>85+90</f>
        <v>175</v>
      </c>
      <c r="F36" s="10"/>
      <c r="G36" s="10">
        <f t="shared" si="1"/>
        <v>175</v>
      </c>
      <c r="H36" s="10"/>
      <c r="I36" s="37">
        <v>200</v>
      </c>
    </row>
    <row r="37" spans="1:9" x14ac:dyDescent="0.35">
      <c r="A37" s="3" t="s">
        <v>247</v>
      </c>
      <c r="C37" s="35">
        <v>600</v>
      </c>
      <c r="E37" s="10">
        <v>422.5</v>
      </c>
      <c r="F37" s="10"/>
      <c r="G37" s="10">
        <f t="shared" si="1"/>
        <v>-177.5</v>
      </c>
      <c r="H37" s="10"/>
      <c r="I37" s="37">
        <v>600</v>
      </c>
    </row>
    <row r="38" spans="1:9" x14ac:dyDescent="0.35">
      <c r="A38" s="3" t="s">
        <v>195</v>
      </c>
      <c r="C38" s="35">
        <v>200</v>
      </c>
      <c r="E38" s="10"/>
      <c r="F38" s="10"/>
      <c r="G38" s="10">
        <f t="shared" si="1"/>
        <v>-200</v>
      </c>
      <c r="H38" s="10"/>
      <c r="I38" s="37">
        <v>200</v>
      </c>
    </row>
    <row r="39" spans="1:9" x14ac:dyDescent="0.35">
      <c r="A39" s="3" t="s">
        <v>141</v>
      </c>
      <c r="C39" s="35">
        <v>250</v>
      </c>
      <c r="E39" s="10">
        <f>3</f>
        <v>3</v>
      </c>
      <c r="F39" s="10"/>
      <c r="G39" s="10">
        <f t="shared" si="1"/>
        <v>-247</v>
      </c>
      <c r="H39" s="10"/>
      <c r="I39" s="37">
        <v>250</v>
      </c>
    </row>
    <row r="40" spans="1:9" x14ac:dyDescent="0.35">
      <c r="A40" s="3" t="s">
        <v>135</v>
      </c>
      <c r="C40" s="35"/>
      <c r="E40" s="10"/>
      <c r="F40" s="10"/>
      <c r="G40" s="10">
        <f t="shared" si="1"/>
        <v>0</v>
      </c>
      <c r="H40" s="10"/>
      <c r="I40" s="37"/>
    </row>
    <row r="41" spans="1:9" x14ac:dyDescent="0.35">
      <c r="A41" s="3" t="s">
        <v>199</v>
      </c>
      <c r="C41" s="35">
        <v>600</v>
      </c>
      <c r="E41" s="10">
        <f>425+2259.97+511</f>
        <v>3195.97</v>
      </c>
      <c r="F41" s="10"/>
      <c r="G41" s="10">
        <f t="shared" si="1"/>
        <v>2595.9699999999998</v>
      </c>
      <c r="H41" s="10"/>
      <c r="I41" s="37">
        <v>3000</v>
      </c>
    </row>
    <row r="42" spans="1:9" ht="37.5" x14ac:dyDescent="0.35">
      <c r="A42" s="3" t="s">
        <v>263</v>
      </c>
      <c r="C42" s="35">
        <f>Stipends!B18</f>
        <v>450</v>
      </c>
      <c r="E42" s="10">
        <v>19050</v>
      </c>
      <c r="F42" s="10"/>
      <c r="G42" s="10">
        <f t="shared" si="1"/>
        <v>18600</v>
      </c>
      <c r="H42" s="10"/>
      <c r="I42" s="37">
        <f>Stipends!B24</f>
        <v>19050</v>
      </c>
    </row>
    <row r="43" spans="1:9" x14ac:dyDescent="0.35">
      <c r="C43" s="35"/>
      <c r="E43" s="10"/>
      <c r="F43" s="10"/>
      <c r="G43" s="10"/>
      <c r="H43" s="10"/>
      <c r="I43" s="37"/>
    </row>
    <row r="44" spans="1:9" ht="15.5" x14ac:dyDescent="0.35">
      <c r="A44" s="8" t="s">
        <v>139</v>
      </c>
      <c r="C44" s="35">
        <f>SUM(C20:C42)</f>
        <v>44093</v>
      </c>
      <c r="E44" s="41">
        <f>SUM(E20:E42)</f>
        <v>48194</v>
      </c>
      <c r="F44" s="10"/>
      <c r="G44" s="10">
        <f t="shared" si="1"/>
        <v>4101</v>
      </c>
      <c r="H44" s="10"/>
      <c r="I44" s="37">
        <f>SUM(I20:I42)</f>
        <v>58600</v>
      </c>
    </row>
    <row r="45" spans="1:9" ht="15.5" x14ac:dyDescent="0.35">
      <c r="A45" s="9"/>
      <c r="C45" s="35"/>
      <c r="E45" s="41"/>
      <c r="F45" s="10"/>
      <c r="G45" s="10"/>
      <c r="H45" s="10"/>
      <c r="I45" s="37"/>
    </row>
    <row r="46" spans="1:9" ht="15.5" x14ac:dyDescent="0.35">
      <c r="A46" s="8" t="s">
        <v>140</v>
      </c>
      <c r="C46" s="35">
        <f>C17-C44</f>
        <v>18207</v>
      </c>
      <c r="E46" s="41">
        <f>E17-E44</f>
        <v>6758.239999999998</v>
      </c>
      <c r="F46" s="10"/>
      <c r="G46" s="10">
        <f t="shared" si="1"/>
        <v>-11448.760000000002</v>
      </c>
      <c r="H46" s="10"/>
      <c r="I46" s="37">
        <f>I17-I44</f>
        <v>6325.3099999999977</v>
      </c>
    </row>
    <row r="47" spans="1:9" x14ac:dyDescent="0.35">
      <c r="E47" s="10"/>
      <c r="F47" s="10"/>
      <c r="G47" s="10"/>
      <c r="H47" s="10"/>
      <c r="I47" s="37"/>
    </row>
    <row r="48" spans="1:9" x14ac:dyDescent="0.35">
      <c r="A48" s="1" t="s">
        <v>142</v>
      </c>
    </row>
    <row r="50" spans="1:1" x14ac:dyDescent="0.35">
      <c r="A50" s="1" t="s">
        <v>253</v>
      </c>
    </row>
    <row r="51" spans="1:1" x14ac:dyDescent="0.35">
      <c r="A51" s="1" t="s">
        <v>235</v>
      </c>
    </row>
    <row r="52" spans="1:1" x14ac:dyDescent="0.35">
      <c r="A52" s="1" t="s">
        <v>251</v>
      </c>
    </row>
    <row r="53" spans="1:1" x14ac:dyDescent="0.35">
      <c r="A53" s="1" t="s">
        <v>236</v>
      </c>
    </row>
    <row r="54" spans="1:1" x14ac:dyDescent="0.35">
      <c r="A54" s="1" t="s">
        <v>252</v>
      </c>
    </row>
    <row r="55" spans="1:1" x14ac:dyDescent="0.35">
      <c r="A55" s="1" t="s">
        <v>254</v>
      </c>
    </row>
    <row r="56" spans="1:1" x14ac:dyDescent="0.35">
      <c r="A56" s="1" t="s">
        <v>240</v>
      </c>
    </row>
    <row r="57" spans="1:1" x14ac:dyDescent="0.35">
      <c r="A57" s="1" t="s">
        <v>241</v>
      </c>
    </row>
    <row r="58" spans="1:1" x14ac:dyDescent="0.35">
      <c r="A58" s="1" t="s">
        <v>255</v>
      </c>
    </row>
    <row r="59" spans="1:1" x14ac:dyDescent="0.35">
      <c r="A59" s="1" t="s">
        <v>256</v>
      </c>
    </row>
    <row r="60" spans="1:1" x14ac:dyDescent="0.35">
      <c r="A60" s="1" t="s">
        <v>257</v>
      </c>
    </row>
    <row r="61" spans="1:1" x14ac:dyDescent="0.35">
      <c r="A61" s="1" t="s">
        <v>243</v>
      </c>
    </row>
    <row r="62" spans="1:1" x14ac:dyDescent="0.35">
      <c r="A62" s="1" t="s">
        <v>258</v>
      </c>
    </row>
    <row r="63" spans="1:1" x14ac:dyDescent="0.35">
      <c r="A63" s="1" t="s">
        <v>238</v>
      </c>
    </row>
    <row r="64" spans="1:1" x14ac:dyDescent="0.35">
      <c r="A64" s="1" t="s">
        <v>259</v>
      </c>
    </row>
    <row r="65" spans="1:1" x14ac:dyDescent="0.35">
      <c r="A65" s="1" t="s">
        <v>245</v>
      </c>
    </row>
    <row r="66" spans="1:1" x14ac:dyDescent="0.35">
      <c r="A66" s="1" t="s">
        <v>246</v>
      </c>
    </row>
    <row r="67" spans="1:1" x14ac:dyDescent="0.35">
      <c r="A67" s="1" t="s">
        <v>260</v>
      </c>
    </row>
    <row r="68" spans="1:1" x14ac:dyDescent="0.35">
      <c r="A68" s="1" t="s">
        <v>239</v>
      </c>
    </row>
    <row r="69" spans="1:1" x14ac:dyDescent="0.35">
      <c r="A69" s="1" t="s">
        <v>261</v>
      </c>
    </row>
    <row r="70" spans="1:1" x14ac:dyDescent="0.35">
      <c r="A70" s="1" t="s">
        <v>262</v>
      </c>
    </row>
    <row r="71" spans="1:1" x14ac:dyDescent="0.35">
      <c r="A71" s="1" t="s">
        <v>248</v>
      </c>
    </row>
    <row r="72" spans="1:1" x14ac:dyDescent="0.35">
      <c r="A72" s="1" t="s">
        <v>264</v>
      </c>
    </row>
    <row r="73" spans="1:1" x14ac:dyDescent="0.35">
      <c r="A73" s="1" t="s">
        <v>265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79"/>
  <sheetViews>
    <sheetView topLeftCell="A40" zoomScaleNormal="100" workbookViewId="0">
      <selection activeCell="E49" sqref="E49"/>
    </sheetView>
  </sheetViews>
  <sheetFormatPr defaultRowHeight="14.5" x14ac:dyDescent="0.35"/>
  <cols>
    <col min="1" max="1" width="22.81640625" customWidth="1"/>
    <col min="3" max="3" width="19.6328125" customWidth="1"/>
    <col min="5" max="5" width="13.26953125" customWidth="1"/>
    <col min="6" max="6" width="9.1796875" customWidth="1"/>
    <col min="7" max="7" width="12.54296875" style="53" hidden="1" customWidth="1"/>
    <col min="8" max="17" width="9.1796875" hidden="1" customWidth="1"/>
    <col min="18" max="26" width="9.1796875" customWidth="1"/>
  </cols>
  <sheetData>
    <row r="1" spans="1:18" x14ac:dyDescent="0.35">
      <c r="A1" s="1"/>
      <c r="C1" s="58" t="s">
        <v>273</v>
      </c>
      <c r="E1" s="14" t="s">
        <v>316</v>
      </c>
      <c r="G1" s="53">
        <v>2016</v>
      </c>
      <c r="J1" t="s">
        <v>277</v>
      </c>
    </row>
    <row r="2" spans="1:18" x14ac:dyDescent="0.35">
      <c r="A2" s="1"/>
      <c r="C2" s="58" t="s">
        <v>186</v>
      </c>
      <c r="E2" s="59" t="s">
        <v>147</v>
      </c>
      <c r="G2" s="53" t="s">
        <v>186</v>
      </c>
      <c r="J2">
        <v>2016</v>
      </c>
      <c r="L2">
        <v>2017</v>
      </c>
    </row>
    <row r="3" spans="1:18" ht="15" x14ac:dyDescent="0.35">
      <c r="A3" s="5" t="s">
        <v>301</v>
      </c>
      <c r="C3" s="56"/>
      <c r="E3" s="45"/>
      <c r="J3">
        <f>'Racer Days'!D3</f>
        <v>15485</v>
      </c>
      <c r="L3">
        <v>14000</v>
      </c>
    </row>
    <row r="4" spans="1:18" x14ac:dyDescent="0.35">
      <c r="A4" s="2" t="s">
        <v>187</v>
      </c>
      <c r="C4" s="57">
        <f>C10*25</f>
        <v>25000</v>
      </c>
      <c r="D4" s="16"/>
      <c r="E4" s="61">
        <f>26631</f>
        <v>26631</v>
      </c>
      <c r="F4" s="16"/>
      <c r="G4" s="54">
        <v>26250</v>
      </c>
    </row>
    <row r="5" spans="1:18" x14ac:dyDescent="0.35">
      <c r="A5" s="2" t="s">
        <v>188</v>
      </c>
      <c r="C5" s="57">
        <v>18000</v>
      </c>
      <c r="D5" s="16"/>
      <c r="E5" s="61">
        <v>7464.49</v>
      </c>
      <c r="F5" s="16"/>
      <c r="G5" s="54">
        <v>22000</v>
      </c>
      <c r="J5">
        <f>119/1198</f>
        <v>9.9332220367278803E-2</v>
      </c>
    </row>
    <row r="6" spans="1:18" x14ac:dyDescent="0.35">
      <c r="A6" s="2" t="s">
        <v>234</v>
      </c>
      <c r="C6" s="57">
        <f>0.17*L3</f>
        <v>2380</v>
      </c>
      <c r="D6" s="16"/>
      <c r="E6" s="61">
        <v>2137.84</v>
      </c>
      <c r="F6" s="16"/>
      <c r="G6" s="54">
        <v>2975</v>
      </c>
      <c r="Q6">
        <f>4000/23</f>
        <v>173.91304347826087</v>
      </c>
    </row>
    <row r="7" spans="1:18" x14ac:dyDescent="0.35">
      <c r="A7" s="2"/>
      <c r="C7" s="57"/>
      <c r="D7" s="16"/>
      <c r="E7" s="62"/>
      <c r="F7" s="16"/>
      <c r="G7" s="54"/>
    </row>
    <row r="8" spans="1:18" x14ac:dyDescent="0.35">
      <c r="A8" s="2" t="s">
        <v>302</v>
      </c>
      <c r="C8" s="57">
        <f>SUM(C4:C6)</f>
        <v>45380</v>
      </c>
      <c r="D8" s="16"/>
      <c r="E8" s="63">
        <f>SUM(E4:E6)</f>
        <v>36233.33</v>
      </c>
      <c r="F8" s="16"/>
      <c r="G8" s="54">
        <f>SUM(G4:G6)</f>
        <v>51225</v>
      </c>
    </row>
    <row r="9" spans="1:18" x14ac:dyDescent="0.35">
      <c r="A9" s="2"/>
      <c r="C9" s="57"/>
      <c r="D9" s="16"/>
      <c r="E9" s="64"/>
      <c r="F9" s="16"/>
      <c r="G9" s="54"/>
    </row>
    <row r="10" spans="1:18" x14ac:dyDescent="0.35">
      <c r="A10" s="2" t="s">
        <v>189</v>
      </c>
      <c r="C10" s="57">
        <v>1000</v>
      </c>
      <c r="D10" s="16"/>
      <c r="E10" s="62">
        <v>1138</v>
      </c>
      <c r="F10" s="16"/>
      <c r="G10" s="54">
        <v>1315</v>
      </c>
      <c r="R10" t="s">
        <v>317</v>
      </c>
    </row>
    <row r="11" spans="1:18" x14ac:dyDescent="0.35">
      <c r="A11" s="2"/>
      <c r="C11" s="57"/>
      <c r="D11" s="16"/>
      <c r="E11" s="62"/>
      <c r="F11" s="16"/>
      <c r="G11" s="54"/>
    </row>
    <row r="12" spans="1:18" ht="15" x14ac:dyDescent="0.35">
      <c r="A12" s="6" t="s">
        <v>303</v>
      </c>
      <c r="C12" s="57"/>
      <c r="D12" s="16"/>
      <c r="E12" s="62"/>
      <c r="F12" s="16"/>
      <c r="G12" s="54"/>
    </row>
    <row r="13" spans="1:18" x14ac:dyDescent="0.35">
      <c r="A13" s="3" t="s">
        <v>175</v>
      </c>
      <c r="C13" s="57">
        <v>3500</v>
      </c>
      <c r="D13" s="16"/>
      <c r="E13" s="61">
        <v>7280</v>
      </c>
      <c r="F13" s="16"/>
      <c r="G13" s="54">
        <v>4800</v>
      </c>
    </row>
    <row r="14" spans="1:18" x14ac:dyDescent="0.35">
      <c r="A14" s="3" t="s">
        <v>125</v>
      </c>
      <c r="C14" s="57">
        <v>4000</v>
      </c>
      <c r="D14" s="16"/>
      <c r="E14" s="61">
        <v>4705</v>
      </c>
      <c r="F14" s="16"/>
      <c r="G14" s="54">
        <v>4000</v>
      </c>
    </row>
    <row r="15" spans="1:18" x14ac:dyDescent="0.35">
      <c r="A15" s="3" t="s">
        <v>126</v>
      </c>
      <c r="C15" s="57"/>
      <c r="D15" s="16"/>
      <c r="E15" s="62">
        <v>459</v>
      </c>
      <c r="F15" s="16"/>
      <c r="G15" s="54"/>
    </row>
    <row r="16" spans="1:18" x14ac:dyDescent="0.35">
      <c r="A16" s="3" t="s">
        <v>190</v>
      </c>
      <c r="C16" s="57"/>
      <c r="D16" s="16"/>
      <c r="E16" s="62"/>
      <c r="F16" s="16"/>
      <c r="G16" s="54"/>
    </row>
    <row r="17" spans="1:19" x14ac:dyDescent="0.35">
      <c r="A17" s="3" t="s">
        <v>311</v>
      </c>
      <c r="C17" s="57"/>
      <c r="D17" s="16"/>
      <c r="E17" s="61">
        <f>2250</f>
        <v>2250</v>
      </c>
      <c r="F17" s="16"/>
      <c r="G17" s="54"/>
    </row>
    <row r="18" spans="1:19" ht="15" thickBot="1" x14ac:dyDescent="0.4">
      <c r="A18" s="3" t="s">
        <v>91</v>
      </c>
      <c r="C18" s="57">
        <v>3000</v>
      </c>
      <c r="D18" s="16"/>
      <c r="E18" s="65">
        <v>2369</v>
      </c>
      <c r="F18" s="16"/>
      <c r="G18" s="54">
        <v>4000</v>
      </c>
    </row>
    <row r="19" spans="1:19" x14ac:dyDescent="0.35">
      <c r="A19" s="3"/>
      <c r="C19" s="57"/>
      <c r="D19" s="16"/>
      <c r="E19" s="62"/>
      <c r="F19" s="16"/>
      <c r="G19" s="54"/>
    </row>
    <row r="20" spans="1:19" ht="15.5" x14ac:dyDescent="0.35">
      <c r="A20" s="8" t="s">
        <v>3</v>
      </c>
      <c r="C20" s="57">
        <f>SUM(C13:C18)+C8</f>
        <v>55880</v>
      </c>
      <c r="D20" s="16"/>
      <c r="E20" s="62">
        <f>SUM(E13:E18)+E8</f>
        <v>53296.33</v>
      </c>
      <c r="F20" s="16" t="s">
        <v>147</v>
      </c>
      <c r="G20" s="55">
        <f>SUM(G13:G18)+G8</f>
        <v>64025</v>
      </c>
      <c r="R20" s="12"/>
      <c r="S20" s="12"/>
    </row>
    <row r="21" spans="1:19" x14ac:dyDescent="0.35">
      <c r="A21" s="3"/>
      <c r="C21" s="57"/>
      <c r="D21" s="16"/>
      <c r="E21" s="46"/>
      <c r="F21" s="16"/>
      <c r="G21" s="54"/>
    </row>
    <row r="22" spans="1:19" ht="15.5" x14ac:dyDescent="0.35">
      <c r="A22" s="7" t="s">
        <v>127</v>
      </c>
      <c r="C22" s="57"/>
      <c r="D22" s="16"/>
      <c r="E22" s="46"/>
      <c r="F22" s="16"/>
      <c r="G22" s="54"/>
    </row>
    <row r="23" spans="1:19" x14ac:dyDescent="0.35">
      <c r="A23" s="3" t="s">
        <v>193</v>
      </c>
      <c r="C23" s="57">
        <v>2000</v>
      </c>
      <c r="D23" s="16"/>
      <c r="E23" s="46">
        <v>-35</v>
      </c>
      <c r="F23" s="16"/>
      <c r="G23" s="55">
        <v>3000</v>
      </c>
    </row>
    <row r="24" spans="1:19" ht="25" x14ac:dyDescent="0.35">
      <c r="A24" s="3" t="s">
        <v>287</v>
      </c>
      <c r="C24" s="57">
        <v>4000</v>
      </c>
      <c r="D24" s="16"/>
      <c r="E24" s="46">
        <v>2832</v>
      </c>
      <c r="F24" s="16"/>
      <c r="G24" s="55">
        <v>3000</v>
      </c>
    </row>
    <row r="25" spans="1:19" x14ac:dyDescent="0.35">
      <c r="A25" s="3" t="s">
        <v>130</v>
      </c>
      <c r="C25" s="57"/>
      <c r="D25" s="16"/>
      <c r="E25" s="46"/>
      <c r="F25" s="16"/>
      <c r="G25" s="55"/>
    </row>
    <row r="26" spans="1:19" x14ac:dyDescent="0.35">
      <c r="A26" s="3" t="s">
        <v>306</v>
      </c>
      <c r="C26" s="57">
        <v>500</v>
      </c>
      <c r="D26" s="16"/>
      <c r="E26" s="46">
        <v>517</v>
      </c>
      <c r="F26" s="16"/>
      <c r="G26" s="55">
        <v>1600</v>
      </c>
    </row>
    <row r="27" spans="1:19" x14ac:dyDescent="0.35">
      <c r="A27" s="3" t="s">
        <v>194</v>
      </c>
      <c r="C27" s="57">
        <v>1500</v>
      </c>
      <c r="D27" s="16"/>
      <c r="E27" s="46">
        <v>2941</v>
      </c>
      <c r="F27" s="16"/>
      <c r="G27" s="55">
        <v>2500</v>
      </c>
    </row>
    <row r="28" spans="1:19" x14ac:dyDescent="0.35">
      <c r="A28" s="25" t="s">
        <v>269</v>
      </c>
      <c r="C28" s="57">
        <v>1000</v>
      </c>
      <c r="D28" s="16"/>
      <c r="E28" s="46">
        <f>-670+360</f>
        <v>-310</v>
      </c>
      <c r="F28" s="16"/>
      <c r="G28" s="55">
        <v>1000</v>
      </c>
    </row>
    <row r="29" spans="1:19" x14ac:dyDescent="0.35">
      <c r="A29" s="3" t="s">
        <v>173</v>
      </c>
      <c r="C29" s="57">
        <v>400</v>
      </c>
      <c r="D29" s="16"/>
      <c r="E29" s="46">
        <v>27</v>
      </c>
      <c r="F29" s="16"/>
      <c r="G29" s="55">
        <v>400</v>
      </c>
    </row>
    <row r="30" spans="1:19" x14ac:dyDescent="0.35">
      <c r="A30" s="2" t="s">
        <v>131</v>
      </c>
      <c r="C30" s="57">
        <v>1500</v>
      </c>
      <c r="D30" s="16"/>
      <c r="E30" s="46"/>
      <c r="F30" s="16"/>
      <c r="G30" s="55">
        <v>1500</v>
      </c>
    </row>
    <row r="31" spans="1:19" x14ac:dyDescent="0.35">
      <c r="A31" s="4" t="s">
        <v>307</v>
      </c>
      <c r="C31" s="57">
        <v>1500</v>
      </c>
      <c r="D31" s="16"/>
      <c r="E31" s="46">
        <v>1064</v>
      </c>
      <c r="F31" s="16"/>
      <c r="G31" s="55">
        <v>1500</v>
      </c>
    </row>
    <row r="32" spans="1:19" x14ac:dyDescent="0.35">
      <c r="A32" s="4" t="s">
        <v>308</v>
      </c>
      <c r="C32" s="57">
        <v>5000</v>
      </c>
      <c r="D32" s="16"/>
      <c r="E32" s="46">
        <v>1000</v>
      </c>
      <c r="F32" s="16"/>
      <c r="G32" s="55">
        <v>5000</v>
      </c>
    </row>
    <row r="33" spans="1:19" x14ac:dyDescent="0.35">
      <c r="A33" s="4" t="s">
        <v>197</v>
      </c>
      <c r="C33" s="57">
        <v>1800</v>
      </c>
      <c r="D33" s="16"/>
      <c r="E33" s="46">
        <v>1425</v>
      </c>
      <c r="F33" s="16"/>
      <c r="G33" s="55">
        <v>1800</v>
      </c>
    </row>
    <row r="34" spans="1:19" x14ac:dyDescent="0.35">
      <c r="A34" s="3" t="s">
        <v>132</v>
      </c>
      <c r="C34" s="57">
        <v>8300</v>
      </c>
      <c r="D34" s="16"/>
      <c r="E34" s="46">
        <v>8312.75</v>
      </c>
      <c r="F34" s="16"/>
      <c r="G34" s="55">
        <v>7700</v>
      </c>
    </row>
    <row r="35" spans="1:19" x14ac:dyDescent="0.35">
      <c r="A35" s="3" t="s">
        <v>25</v>
      </c>
      <c r="C35" s="57">
        <v>4500</v>
      </c>
      <c r="D35" s="16"/>
      <c r="E35" s="46">
        <v>2793</v>
      </c>
      <c r="F35" s="16"/>
      <c r="G35" s="55">
        <v>4500</v>
      </c>
    </row>
    <row r="36" spans="1:19" x14ac:dyDescent="0.35">
      <c r="A36" s="3" t="s">
        <v>28</v>
      </c>
      <c r="C36" s="57">
        <v>300</v>
      </c>
      <c r="D36" s="16"/>
      <c r="E36" s="46"/>
      <c r="F36" s="16"/>
      <c r="G36" s="55">
        <v>300</v>
      </c>
    </row>
    <row r="37" spans="1:19" x14ac:dyDescent="0.35">
      <c r="A37" s="3" t="s">
        <v>73</v>
      </c>
      <c r="C37" s="57">
        <v>1300</v>
      </c>
      <c r="D37" s="16"/>
      <c r="E37" s="46">
        <v>1062</v>
      </c>
      <c r="F37" s="16"/>
      <c r="G37" s="55">
        <v>1500</v>
      </c>
    </row>
    <row r="38" spans="1:19" x14ac:dyDescent="0.35">
      <c r="A38" s="3" t="s">
        <v>133</v>
      </c>
      <c r="C38" s="57">
        <v>0</v>
      </c>
      <c r="D38" s="16"/>
      <c r="E38" s="46"/>
      <c r="F38" s="16"/>
      <c r="G38" s="55">
        <v>0</v>
      </c>
    </row>
    <row r="39" spans="1:19" x14ac:dyDescent="0.35">
      <c r="A39" s="3" t="s">
        <v>152</v>
      </c>
      <c r="C39" s="57">
        <v>200</v>
      </c>
      <c r="D39" s="16"/>
      <c r="E39" s="46">
        <v>130</v>
      </c>
      <c r="F39" s="16"/>
      <c r="G39" s="55">
        <v>200</v>
      </c>
    </row>
    <row r="40" spans="1:19" x14ac:dyDescent="0.35">
      <c r="A40" s="3" t="s">
        <v>309</v>
      </c>
      <c r="C40" s="57">
        <v>600</v>
      </c>
      <c r="D40" s="16"/>
      <c r="E40" s="46">
        <f>240-100</f>
        <v>140</v>
      </c>
      <c r="F40" s="16"/>
      <c r="G40" s="55">
        <v>600</v>
      </c>
    </row>
    <row r="41" spans="1:19" x14ac:dyDescent="0.35">
      <c r="A41" s="3" t="s">
        <v>195</v>
      </c>
      <c r="C41" s="57">
        <v>200</v>
      </c>
      <c r="D41" s="16"/>
      <c r="E41" s="46" t="s">
        <v>147</v>
      </c>
      <c r="F41" s="16"/>
      <c r="G41" s="55">
        <v>200</v>
      </c>
    </row>
    <row r="42" spans="1:19" x14ac:dyDescent="0.35">
      <c r="A42" s="3" t="s">
        <v>141</v>
      </c>
      <c r="C42" s="57">
        <v>250</v>
      </c>
      <c r="D42" s="16"/>
      <c r="E42" s="46">
        <v>3</v>
      </c>
      <c r="F42" s="16"/>
      <c r="G42" s="55">
        <v>250</v>
      </c>
    </row>
    <row r="43" spans="1:19" x14ac:dyDescent="0.35">
      <c r="A43" s="3" t="s">
        <v>135</v>
      </c>
      <c r="C43" s="57"/>
      <c r="D43" s="16"/>
      <c r="E43" s="46"/>
      <c r="F43" s="16"/>
      <c r="G43" s="55"/>
    </row>
    <row r="44" spans="1:19" x14ac:dyDescent="0.35">
      <c r="A44" s="3" t="s">
        <v>199</v>
      </c>
      <c r="C44" s="57">
        <v>3000</v>
      </c>
      <c r="D44" s="16"/>
      <c r="E44" s="46">
        <v>900</v>
      </c>
      <c r="F44" s="16"/>
      <c r="G44" s="55">
        <v>3000</v>
      </c>
    </row>
    <row r="45" spans="1:19" ht="37.5" x14ac:dyDescent="0.35">
      <c r="A45" s="3" t="s">
        <v>136</v>
      </c>
      <c r="C45" s="57">
        <f>Stipends!H24</f>
        <v>19050</v>
      </c>
      <c r="D45" s="16"/>
      <c r="E45" s="46"/>
      <c r="F45" s="16"/>
      <c r="G45" s="54">
        <f>Stipends!B24</f>
        <v>19050</v>
      </c>
    </row>
    <row r="46" spans="1:19" x14ac:dyDescent="0.35">
      <c r="A46" s="1"/>
      <c r="C46" s="57"/>
      <c r="D46" s="16"/>
      <c r="E46" s="46"/>
      <c r="F46" s="16"/>
    </row>
    <row r="47" spans="1:19" ht="15.5" x14ac:dyDescent="0.35">
      <c r="A47" s="8" t="s">
        <v>139</v>
      </c>
      <c r="C47" s="57">
        <f>SUM(C23:C45)</f>
        <v>56900</v>
      </c>
      <c r="D47" s="16"/>
      <c r="E47" s="46">
        <f>SUM(E23:E45)</f>
        <v>22801.75</v>
      </c>
      <c r="F47" s="16"/>
      <c r="G47" s="51">
        <f>SUM(G23:G45)</f>
        <v>58600</v>
      </c>
      <c r="R47" s="60"/>
      <c r="S47" s="60"/>
    </row>
    <row r="48" spans="1:19" ht="15.5" x14ac:dyDescent="0.35">
      <c r="A48" s="9"/>
      <c r="C48" s="48"/>
      <c r="D48" s="16"/>
      <c r="E48" s="46"/>
      <c r="F48" s="16"/>
      <c r="G48" s="54" t="s">
        <v>147</v>
      </c>
    </row>
    <row r="49" spans="1:19" ht="15.5" x14ac:dyDescent="0.35">
      <c r="A49" s="8" t="s">
        <v>140</v>
      </c>
      <c r="C49" s="48">
        <f>C20-C47</f>
        <v>-1020</v>
      </c>
      <c r="D49" s="16"/>
      <c r="E49" s="46">
        <f>E20-E47</f>
        <v>30494.58</v>
      </c>
      <c r="F49" s="16" t="s">
        <v>147</v>
      </c>
      <c r="G49" s="46">
        <f>G20-G47</f>
        <v>5425</v>
      </c>
      <c r="R49" s="16"/>
      <c r="S49" s="16"/>
    </row>
    <row r="50" spans="1:19" ht="15.75" customHeight="1" x14ac:dyDescent="0.35">
      <c r="A50" s="1"/>
      <c r="C50" s="43"/>
      <c r="E50" s="1" t="s">
        <v>147</v>
      </c>
      <c r="F50" s="10" t="s">
        <v>147</v>
      </c>
    </row>
    <row r="51" spans="1:19" hidden="1" x14ac:dyDescent="0.35">
      <c r="A51" s="1" t="s">
        <v>270</v>
      </c>
      <c r="C51" s="47"/>
      <c r="E51" s="45"/>
      <c r="F51" s="42"/>
    </row>
    <row r="52" spans="1:19" hidden="1" x14ac:dyDescent="0.35">
      <c r="A52" s="1"/>
      <c r="C52" s="47"/>
      <c r="E52" s="45"/>
    </row>
    <row r="53" spans="1:19" hidden="1" x14ac:dyDescent="0.35">
      <c r="A53" s="1" t="s">
        <v>283</v>
      </c>
      <c r="C53" s="47"/>
      <c r="E53" s="45"/>
    </row>
    <row r="54" spans="1:19" hidden="1" x14ac:dyDescent="0.35">
      <c r="A54" s="1" t="s">
        <v>284</v>
      </c>
      <c r="C54" s="47"/>
      <c r="E54" s="45"/>
    </row>
    <row r="55" spans="1:19" hidden="1" x14ac:dyDescent="0.35">
      <c r="A55" s="1" t="s">
        <v>285</v>
      </c>
      <c r="C55" s="47"/>
      <c r="E55" s="45"/>
    </row>
    <row r="56" spans="1:19" hidden="1" x14ac:dyDescent="0.35">
      <c r="A56" s="1" t="s">
        <v>286</v>
      </c>
      <c r="C56" s="47"/>
      <c r="E56" s="45"/>
    </row>
    <row r="57" spans="1:19" hidden="1" x14ac:dyDescent="0.35">
      <c r="A57" s="1" t="s">
        <v>288</v>
      </c>
      <c r="C57" s="47"/>
      <c r="E57" s="45"/>
    </row>
    <row r="58" spans="1:19" hidden="1" x14ac:dyDescent="0.35">
      <c r="A58" s="1" t="s">
        <v>300</v>
      </c>
      <c r="C58" s="47"/>
      <c r="E58" s="45"/>
    </row>
    <row r="59" spans="1:19" hidden="1" x14ac:dyDescent="0.35">
      <c r="A59" s="1" t="s">
        <v>289</v>
      </c>
      <c r="C59" s="47"/>
      <c r="E59" s="45"/>
    </row>
    <row r="60" spans="1:19" hidden="1" x14ac:dyDescent="0.35">
      <c r="A60" s="1" t="s">
        <v>290</v>
      </c>
      <c r="C60" s="47"/>
      <c r="E60" s="45"/>
    </row>
    <row r="61" spans="1:19" hidden="1" x14ac:dyDescent="0.35">
      <c r="A61" s="1" t="s">
        <v>291</v>
      </c>
      <c r="C61" s="47"/>
      <c r="E61" s="45"/>
    </row>
    <row r="62" spans="1:19" hidden="1" x14ac:dyDescent="0.35">
      <c r="A62" s="1" t="s">
        <v>292</v>
      </c>
      <c r="C62" s="47"/>
      <c r="E62" s="45"/>
    </row>
    <row r="63" spans="1:19" hidden="1" x14ac:dyDescent="0.35">
      <c r="A63" s="1" t="s">
        <v>293</v>
      </c>
      <c r="C63" s="47"/>
      <c r="E63" s="45"/>
    </row>
    <row r="64" spans="1:19" hidden="1" x14ac:dyDescent="0.35">
      <c r="A64" s="1" t="s">
        <v>294</v>
      </c>
      <c r="C64" s="47"/>
      <c r="E64" s="45"/>
    </row>
    <row r="65" spans="1:5" hidden="1" x14ac:dyDescent="0.35">
      <c r="A65" s="1" t="s">
        <v>295</v>
      </c>
      <c r="C65" s="47"/>
      <c r="E65" s="45"/>
    </row>
    <row r="66" spans="1:5" hidden="1" x14ac:dyDescent="0.35">
      <c r="A66" s="1" t="s">
        <v>296</v>
      </c>
      <c r="C66" s="47"/>
      <c r="E66" s="45"/>
    </row>
    <row r="67" spans="1:5" hidden="1" x14ac:dyDescent="0.35">
      <c r="A67" s="1" t="s">
        <v>297</v>
      </c>
      <c r="C67" s="47"/>
      <c r="E67" s="45"/>
    </row>
    <row r="68" spans="1:5" hidden="1" x14ac:dyDescent="0.35">
      <c r="A68" s="1" t="s">
        <v>298</v>
      </c>
      <c r="C68" s="47"/>
      <c r="E68" s="45"/>
    </row>
    <row r="69" spans="1:5" hidden="1" x14ac:dyDescent="0.35">
      <c r="A69" s="1"/>
      <c r="C69" s="47"/>
      <c r="E69" s="45"/>
    </row>
    <row r="70" spans="1:5" hidden="1" x14ac:dyDescent="0.35">
      <c r="A70" s="1"/>
      <c r="C70" s="47"/>
      <c r="E70" s="45"/>
    </row>
    <row r="71" spans="1:5" x14ac:dyDescent="0.35">
      <c r="A71" s="1"/>
      <c r="C71" s="47"/>
      <c r="E71" s="45"/>
    </row>
    <row r="72" spans="1:5" x14ac:dyDescent="0.35">
      <c r="A72" s="1" t="s">
        <v>304</v>
      </c>
      <c r="C72" s="47"/>
      <c r="E72" s="45"/>
    </row>
    <row r="73" spans="1:5" x14ac:dyDescent="0.35">
      <c r="A73" s="1" t="s">
        <v>305</v>
      </c>
      <c r="C73" s="47"/>
      <c r="E73" s="45"/>
    </row>
    <row r="74" spans="1:5" x14ac:dyDescent="0.35">
      <c r="A74" s="1" t="s">
        <v>312</v>
      </c>
      <c r="C74" s="47"/>
      <c r="E74" s="45"/>
    </row>
    <row r="75" spans="1:5" x14ac:dyDescent="0.35">
      <c r="A75" s="1" t="s">
        <v>310</v>
      </c>
      <c r="C75" s="47"/>
      <c r="E75" s="45"/>
    </row>
    <row r="76" spans="1:5" x14ac:dyDescent="0.35">
      <c r="A76" s="1" t="s">
        <v>313</v>
      </c>
      <c r="C76" s="47"/>
      <c r="E76" s="45"/>
    </row>
    <row r="77" spans="1:5" x14ac:dyDescent="0.35">
      <c r="A77" s="1" t="s">
        <v>314</v>
      </c>
      <c r="C77" s="47"/>
      <c r="E77" s="45"/>
    </row>
    <row r="78" spans="1:5" x14ac:dyDescent="0.35">
      <c r="A78" s="1" t="s">
        <v>315</v>
      </c>
      <c r="C78" s="47"/>
      <c r="E78" s="45"/>
    </row>
    <row r="79" spans="1:5" x14ac:dyDescent="0.35">
      <c r="A79" s="1"/>
      <c r="C79" s="47"/>
      <c r="E79" s="45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6</vt:i4>
      </vt:variant>
    </vt:vector>
  </HeadingPairs>
  <TitlesOfParts>
    <vt:vector size="22" baseType="lpstr">
      <vt:lpstr>2010</vt:lpstr>
      <vt:lpstr>2011</vt:lpstr>
      <vt:lpstr>2012</vt:lpstr>
      <vt:lpstr>2013</vt:lpstr>
      <vt:lpstr>2014</vt:lpstr>
      <vt:lpstr>Summary</vt:lpstr>
      <vt:lpstr>2016 </vt:lpstr>
      <vt:lpstr>15V16</vt:lpstr>
      <vt:lpstr>2017 Budget</vt:lpstr>
      <vt:lpstr>2018Budget</vt:lpstr>
      <vt:lpstr>2018vsBudget</vt:lpstr>
      <vt:lpstr>2019Budget </vt:lpstr>
      <vt:lpstr>2019 vs Budget</vt:lpstr>
      <vt:lpstr>Membership data</vt:lpstr>
      <vt:lpstr>Stipends</vt:lpstr>
      <vt:lpstr>Racer Days</vt:lpstr>
      <vt:lpstr>'2010'!_2010_qb_ytd</vt:lpstr>
      <vt:lpstr>'2011'!_2011_qb_ytd</vt:lpstr>
      <vt:lpstr>'2012'!_2012_qb_ytd</vt:lpstr>
      <vt:lpstr>'2013'!_2013qb_ytd_numbers</vt:lpstr>
      <vt:lpstr>'2014'!_2014_ytd_qb_data</vt:lpstr>
      <vt:lpstr>'2014'!_2014pl_final_1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kavesh</dc:creator>
  <cp:lastModifiedBy>Gina</cp:lastModifiedBy>
  <cp:lastPrinted>2018-02-20T00:38:10Z</cp:lastPrinted>
  <dcterms:created xsi:type="dcterms:W3CDTF">2014-12-20T01:05:23Z</dcterms:created>
  <dcterms:modified xsi:type="dcterms:W3CDTF">2019-12-11T01:41:19Z</dcterms:modified>
</cp:coreProperties>
</file>